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4"/>
  </bookViews>
  <sheets>
    <sheet name="S43-CLM" sheetId="1" r:id="rId1"/>
    <sheet name="CLM-11S" sheetId="2" r:id="rId2"/>
    <sheet name="11S-UIL" sheetId="3" r:id="rId3"/>
    <sheet name="UIL-HQM" sheetId="4" r:id="rId4"/>
    <sheet name="HQM-S43" sheetId="5" r:id="rId5"/>
    <sheet name="Climb" sheetId="6" r:id="rId6"/>
    <sheet name="W&amp;B" sheetId="7" r:id="rId7"/>
    <sheet name="Va" sheetId="8" r:id="rId8"/>
    <sheet name="Vs" sheetId="9" r:id="rId9"/>
    <sheet name="Sheet5" sheetId="10" r:id="rId10"/>
    <sheet name="Sheet6" sheetId="11" r:id="rId11"/>
    <sheet name="Sheet7" sheetId="12" r:id="rId12"/>
    <sheet name="Sheet8" sheetId="13" r:id="rId13"/>
    <sheet name="Sheet9" sheetId="14" r:id="rId14"/>
    <sheet name="Sheet10" sheetId="15" r:id="rId15"/>
  </sheets>
  <definedNames>
    <definedName name="_xlnm.Print_Area" localSheetId="2">'11S-UIL'!$A$1:$X$62</definedName>
    <definedName name="_xlnm.Print_Area" localSheetId="1">'CLM-11S'!$A$1:$X$62</definedName>
    <definedName name="_xlnm.Print_Area" localSheetId="4">'HQM-S43'!$A$1:$X$62</definedName>
    <definedName name="_xlnm.Print_Area" localSheetId="0">'S43-CLM'!$A$1:$X$62</definedName>
    <definedName name="_xlnm.Print_Area" localSheetId="3">'UIL-HQM'!$A$1:$X$62</definedName>
  </definedNames>
  <calcPr fullCalcOnLoad="1" refMode="R1C1"/>
</workbook>
</file>

<file path=xl/sharedStrings.xml><?xml version="1.0" encoding="utf-8"?>
<sst xmlns="http://schemas.openxmlformats.org/spreadsheetml/2006/main" count="1008" uniqueCount="261">
  <si>
    <t>VOR</t>
  </si>
  <si>
    <t>Ident</t>
  </si>
  <si>
    <t>Freq.</t>
  </si>
  <si>
    <t>Course</t>
  </si>
  <si>
    <t>(Route)</t>
  </si>
  <si>
    <t>Altitude</t>
  </si>
  <si>
    <t>Dir.</t>
  </si>
  <si>
    <t>Vel.</t>
  </si>
  <si>
    <t>CAS</t>
  </si>
  <si>
    <t>TAS</t>
  </si>
  <si>
    <t>CH</t>
  </si>
  <si>
    <t>Dist.</t>
  </si>
  <si>
    <t>GS</t>
  </si>
  <si>
    <t>Est.</t>
  </si>
  <si>
    <t>Act.</t>
  </si>
  <si>
    <t>Leg</t>
  </si>
  <si>
    <t>ETE</t>
  </si>
  <si>
    <t>ATE</t>
  </si>
  <si>
    <t>ETA</t>
  </si>
  <si>
    <t>ATA</t>
  </si>
  <si>
    <t>GPH</t>
  </si>
  <si>
    <t>Fuel</t>
  </si>
  <si>
    <t>Airport &amp; ATIS Advisories</t>
  </si>
  <si>
    <t>ATIS</t>
  </si>
  <si>
    <t>Grnd</t>
  </si>
  <si>
    <t>Tower</t>
  </si>
  <si>
    <t>CTAF</t>
  </si>
  <si>
    <t>FSS</t>
  </si>
  <si>
    <t>Apch</t>
  </si>
  <si>
    <t>Unicm</t>
  </si>
  <si>
    <t xml:space="preserve">    Altimeter</t>
  </si>
  <si>
    <t xml:space="preserve">     Runway</t>
  </si>
  <si>
    <t xml:space="preserve">       Wind</t>
  </si>
  <si>
    <t xml:space="preserve">   Ceiling/Vis</t>
  </si>
  <si>
    <t xml:space="preserve">   ATIS Code</t>
  </si>
  <si>
    <t xml:space="preserve">     Destination</t>
  </si>
  <si>
    <t xml:space="preserve">       Departure</t>
  </si>
  <si>
    <t xml:space="preserve">   Departure</t>
  </si>
  <si>
    <t xml:space="preserve">  Destination</t>
  </si>
  <si>
    <t>NAVIGATION LOG</t>
  </si>
  <si>
    <t xml:space="preserve">      Airport Frequencies</t>
  </si>
  <si>
    <t xml:space="preserve">     Wind</t>
  </si>
  <si>
    <t xml:space="preserve">     Temp</t>
  </si>
  <si>
    <t xml:space="preserve"> Time Off</t>
  </si>
  <si>
    <t>Rem</t>
  </si>
  <si>
    <t>Dep</t>
  </si>
  <si>
    <t>WEATHER LOG</t>
  </si>
  <si>
    <t xml:space="preserve">    Check Points</t>
  </si>
  <si>
    <t xml:space="preserve">         (Fixes)</t>
  </si>
  <si>
    <t xml:space="preserve">         Ceiling, Visibility, and Precipitation</t>
  </si>
  <si>
    <t xml:space="preserve">          Reported</t>
  </si>
  <si>
    <t xml:space="preserve">          Forecast</t>
  </si>
  <si>
    <t xml:space="preserve">         Winds Aloft</t>
  </si>
  <si>
    <t xml:space="preserve">     Turbulence and </t>
  </si>
  <si>
    <t xml:space="preserve">        Cloud Tops</t>
  </si>
  <si>
    <t xml:space="preserve">     Freezing Level</t>
  </si>
  <si>
    <t xml:space="preserve">        Icing and </t>
  </si>
  <si>
    <t xml:space="preserve">     Lows, and Highs</t>
  </si>
  <si>
    <t xml:space="preserve">    Position of Fronts,</t>
  </si>
  <si>
    <t xml:space="preserve">              FLIGHT PLAN</t>
  </si>
  <si>
    <t>VFR</t>
  </si>
  <si>
    <t>IFR</t>
  </si>
  <si>
    <t>OVFR</t>
  </si>
  <si>
    <t xml:space="preserve"> 2. AIRCRAFT</t>
  </si>
  <si>
    <t xml:space="preserve">     IDENT</t>
  </si>
  <si>
    <t>TYPE</t>
  </si>
  <si>
    <t xml:space="preserve">      6. DEPARTURE TIME</t>
  </si>
  <si>
    <t>ACTUAL (Z)</t>
  </si>
  <si>
    <t>KTS</t>
  </si>
  <si>
    <t>Notes &amp; NOTAMS</t>
  </si>
  <si>
    <t>8. ROUTE OF FLIGHT</t>
  </si>
  <si>
    <t xml:space="preserve">   MINUTES</t>
  </si>
  <si>
    <t xml:space="preserve">    HOURS</t>
  </si>
  <si>
    <t xml:space="preserve">  10. EST. TIME ENROUTE</t>
  </si>
  <si>
    <t xml:space="preserve">       MINUTES</t>
  </si>
  <si>
    <t>16. COLOR OF AIRCRAFT</t>
  </si>
  <si>
    <t>17. DESTINATION CONTACT/TELEPHONE</t>
  </si>
  <si>
    <t>CLOSE VFR FLIGHT PLAN WITH _______________________  FSS ON ARRIVAL</t>
  </si>
  <si>
    <t>DME</t>
  </si>
  <si>
    <r>
      <t xml:space="preserve">   </t>
    </r>
    <r>
      <rPr>
        <b/>
        <sz val="6"/>
        <rFont val="Arial"/>
        <family val="2"/>
      </rPr>
      <t>B</t>
    </r>
    <r>
      <rPr>
        <sz val="6"/>
        <rFont val="Arial"/>
        <family val="2"/>
      </rPr>
      <t xml:space="preserve"> - Transponder, no Mode C</t>
    </r>
  </si>
  <si>
    <r>
      <t xml:space="preserve">   </t>
    </r>
    <r>
      <rPr>
        <b/>
        <sz val="6"/>
        <rFont val="Arial"/>
        <family val="2"/>
      </rPr>
      <t>A</t>
    </r>
    <r>
      <rPr>
        <sz val="6"/>
        <rFont val="Arial"/>
        <family val="2"/>
      </rPr>
      <t xml:space="preserve"> - Transponder, Mode C</t>
    </r>
  </si>
  <si>
    <t>AREA NAVIGATION (RNAV)</t>
  </si>
  <si>
    <r>
      <t xml:space="preserve">   </t>
    </r>
    <r>
      <rPr>
        <b/>
        <sz val="6"/>
        <rFont val="Arial"/>
        <family val="2"/>
      </rPr>
      <t>Y</t>
    </r>
    <r>
      <rPr>
        <sz val="6"/>
        <rFont val="Arial"/>
        <family val="2"/>
      </rPr>
      <t xml:space="preserve"> - LORAN, VOR/DME, or INS with no transponder</t>
    </r>
  </si>
  <si>
    <r>
      <t xml:space="preserve">  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 - LORAN, VOR/DME, or INS, transponder with no Mode C</t>
    </r>
  </si>
  <si>
    <r>
      <t xml:space="preserve">    </t>
    </r>
    <r>
      <rPr>
        <b/>
        <sz val="6"/>
        <rFont val="Arial"/>
        <family val="2"/>
      </rPr>
      <t xml:space="preserve">I </t>
    </r>
    <r>
      <rPr>
        <sz val="6"/>
        <rFont val="Arial"/>
        <family val="2"/>
      </rPr>
      <t xml:space="preserve"> - LORAN, VOR/DME, or INS, transponder with Mode C</t>
    </r>
  </si>
  <si>
    <t xml:space="preserve">C, it will revert to the appropriate code listed to the left under </t>
  </si>
  <si>
    <t>Area Navigation.)</t>
  </si>
  <si>
    <r>
      <t xml:space="preserve">   G</t>
    </r>
    <r>
      <rPr>
        <sz val="6"/>
        <rFont val="Arial"/>
        <family val="2"/>
      </rPr>
      <t xml:space="preserve"> - GPS/GNSS equiped aircraft with enroute, terminal, </t>
    </r>
  </si>
  <si>
    <t xml:space="preserve">          and GPS approach capability</t>
  </si>
  <si>
    <r>
      <t xml:space="preserve">   R</t>
    </r>
    <r>
      <rPr>
        <sz val="6"/>
        <rFont val="Arial"/>
        <family val="2"/>
      </rPr>
      <t xml:space="preserve"> - Required Navigational Performance. (Denotes capability</t>
    </r>
  </si>
  <si>
    <t xml:space="preserve">         to operate in RNP designated airspace and routes.</t>
  </si>
  <si>
    <r>
      <t xml:space="preserve">   </t>
    </r>
    <r>
      <rPr>
        <b/>
        <sz val="6"/>
        <rFont val="Arial"/>
        <family val="2"/>
      </rPr>
      <t>W</t>
    </r>
    <r>
      <rPr>
        <sz val="6"/>
        <rFont val="Arial"/>
        <family val="2"/>
      </rPr>
      <t xml:space="preserve"> - Reduced Vertical Separation Minima (RVSM)</t>
    </r>
  </si>
  <si>
    <t xml:space="preserve"> 7. CRUISING</t>
  </si>
  <si>
    <t xml:space="preserve">     ALTITUDE</t>
  </si>
  <si>
    <t xml:space="preserve"> 5. DEPARTURE </t>
  </si>
  <si>
    <t xml:space="preserve">     POINT</t>
  </si>
  <si>
    <t xml:space="preserve"> 4. TRUE</t>
  </si>
  <si>
    <t xml:space="preserve">     AIRSPEED</t>
  </si>
  <si>
    <t xml:space="preserve"> 3. AIRCRAFT TYPE/</t>
  </si>
  <si>
    <t xml:space="preserve">     SPECIAL EQUIP</t>
  </si>
  <si>
    <t xml:space="preserve"> 9. DESTINATION (Name of airport and city)</t>
  </si>
  <si>
    <t xml:space="preserve"> 11. REMARKS</t>
  </si>
  <si>
    <t xml:space="preserve"> 12. FUEL ON BOARD</t>
  </si>
  <si>
    <t xml:space="preserve"> 13. ALTERNATE AIRPORT(S)</t>
  </si>
  <si>
    <t xml:space="preserve"> 14. PILOT'S NAME, ADDRESS, PHONE, &amp; A/C HOME BASE</t>
  </si>
  <si>
    <t>PROPOSED(Z)</t>
  </si>
  <si>
    <t xml:space="preserve"> Departure</t>
  </si>
  <si>
    <t xml:space="preserve"> Enroute</t>
  </si>
  <si>
    <t xml:space="preserve"> Destination</t>
  </si>
  <si>
    <t xml:space="preserve"> Alternate</t>
  </si>
  <si>
    <t xml:space="preserve">     Totals:</t>
  </si>
  <si>
    <t xml:space="preserve">  AIRCRAFT EQUIPMENT SUFFIXES</t>
  </si>
  <si>
    <t xml:space="preserve">  NO DME</t>
  </si>
  <si>
    <r>
      <t xml:space="preserve">     X</t>
    </r>
    <r>
      <rPr>
        <sz val="6"/>
        <rFont val="Arial"/>
        <family val="2"/>
      </rPr>
      <t xml:space="preserve"> - No transponder</t>
    </r>
  </si>
  <si>
    <r>
      <t xml:space="preserve">     T</t>
    </r>
    <r>
      <rPr>
        <sz val="6"/>
        <rFont val="Arial"/>
        <family val="2"/>
      </rPr>
      <t xml:space="preserve"> - Transponder, no Mode C</t>
    </r>
  </si>
  <si>
    <r>
      <t xml:space="preserve">     U</t>
    </r>
    <r>
      <rPr>
        <sz val="6"/>
        <rFont val="Arial"/>
        <family val="2"/>
      </rPr>
      <t xml:space="preserve"> - Transponder, Mode C</t>
    </r>
  </si>
  <si>
    <r>
      <t xml:space="preserve">  D</t>
    </r>
    <r>
      <rPr>
        <sz val="6"/>
        <rFont val="Arial"/>
        <family val="2"/>
      </rPr>
      <t xml:space="preserve"> - No Transponder</t>
    </r>
  </si>
  <si>
    <t>ADVANCED RNAV with Transponder and Mode C</t>
  </si>
  <si>
    <t xml:space="preserve">(if an aircraft is unable to operate with a transponder and/or Mode </t>
  </si>
  <si>
    <t xml:space="preserve"> Weight</t>
  </si>
  <si>
    <t xml:space="preserve"> Total Fuel</t>
  </si>
  <si>
    <r>
      <t xml:space="preserve"> V</t>
    </r>
    <r>
      <rPr>
        <b/>
        <vertAlign val="subscript"/>
        <sz val="10"/>
        <rFont val="Arial"/>
        <family val="2"/>
      </rPr>
      <t>x</t>
    </r>
  </si>
  <si>
    <r>
      <t xml:space="preserve"> V</t>
    </r>
    <r>
      <rPr>
        <b/>
        <vertAlign val="subscript"/>
        <sz val="10"/>
        <rFont val="Arial"/>
        <family val="2"/>
      </rPr>
      <t>Y</t>
    </r>
  </si>
  <si>
    <t xml:space="preserve">  Notes</t>
  </si>
  <si>
    <t xml:space="preserve"> CG Pos.</t>
  </si>
  <si>
    <t>TIME, FUEL, AND DISTANCE TO CLIMB</t>
  </si>
  <si>
    <t>MAXIMUM RATE OF CLIMB</t>
  </si>
  <si>
    <t>CESSNA 152</t>
  </si>
  <si>
    <t>CONDITIONS:</t>
  </si>
  <si>
    <t>NOTES:</t>
  </si>
  <si>
    <t>1. Flaps up</t>
  </si>
  <si>
    <t>2. Full Throttle</t>
  </si>
  <si>
    <t>3. Standard Temperature</t>
  </si>
  <si>
    <t>1. Add 0.8 gallons of fuel for start, taxi, and takeoff</t>
  </si>
  <si>
    <t>2. Mixture leaned above 3000 feet for maximum RPM</t>
  </si>
  <si>
    <t>3. Increase time, fuel, and distance by 10% for each 10 degrees above standard temperature</t>
  </si>
  <si>
    <t>4. Distances are based on zero wind</t>
  </si>
  <si>
    <t>Weight</t>
  </si>
  <si>
    <t>(pounds)</t>
  </si>
  <si>
    <t>Pressure</t>
  </si>
  <si>
    <t>(feet)</t>
  </si>
  <si>
    <t>Temp</t>
  </si>
  <si>
    <t>( C )</t>
  </si>
  <si>
    <t>Climb</t>
  </si>
  <si>
    <t>Speed</t>
  </si>
  <si>
    <t>(KIAS)</t>
  </si>
  <si>
    <t>Rate of</t>
  </si>
  <si>
    <t>(FPM)</t>
  </si>
  <si>
    <t>Time</t>
  </si>
  <si>
    <t>(Min)</t>
  </si>
  <si>
    <t>Fuel Used</t>
  </si>
  <si>
    <t>(Gallons)</t>
  </si>
  <si>
    <t>Distance</t>
  </si>
  <si>
    <t>(NM)</t>
  </si>
  <si>
    <t xml:space="preserve">           From Sea Level</t>
  </si>
  <si>
    <t>Dens. Altitude</t>
  </si>
  <si>
    <t xml:space="preserve">    Elevation</t>
  </si>
  <si>
    <t xml:space="preserve">         TPA</t>
  </si>
  <si>
    <t xml:space="preserve"> Aircraft N</t>
  </si>
  <si>
    <t>Naut.Miles</t>
  </si>
  <si>
    <t xml:space="preserve">  Fuel (gal)</t>
  </si>
  <si>
    <t>Transpondr</t>
  </si>
  <si>
    <t xml:space="preserve">  ATC Freq.</t>
  </si>
  <si>
    <t>PA-28-161</t>
  </si>
  <si>
    <t>Basic Empty Weight</t>
  </si>
  <si>
    <t>Pilot and Front Passenger</t>
  </si>
  <si>
    <t>Weight (lbs)</t>
  </si>
  <si>
    <t>Arm (inches)</t>
  </si>
  <si>
    <t>Moment (inch-lbs)</t>
  </si>
  <si>
    <t>Fuel weight (100LL)</t>
  </si>
  <si>
    <t>Gallons</t>
  </si>
  <si>
    <t>Pounds</t>
  </si>
  <si>
    <t>D</t>
  </si>
  <si>
    <t>Above dotted line is NORMAL category</t>
  </si>
  <si>
    <t>Below dotted line is UTILITY category</t>
  </si>
  <si>
    <t>PA-28-161    Manuvering Speed</t>
  </si>
  <si>
    <t>Va (KIAS)</t>
  </si>
  <si>
    <t>mx + b = y</t>
  </si>
  <si>
    <t>Overall Route:</t>
  </si>
  <si>
    <t>2175N</t>
  </si>
  <si>
    <r>
      <t xml:space="preserve"> V</t>
    </r>
    <r>
      <rPr>
        <vertAlign val="subscript"/>
        <sz val="10"/>
        <rFont val="Arial"/>
        <family val="2"/>
      </rPr>
      <t>A</t>
    </r>
  </si>
  <si>
    <t>Hobbs</t>
  </si>
  <si>
    <t>Date</t>
  </si>
  <si>
    <t>Gross Weight</t>
  </si>
  <si>
    <r>
      <t>Rear Passengers</t>
    </r>
    <r>
      <rPr>
        <b/>
        <vertAlign val="superscript"/>
        <sz val="10"/>
        <rFont val="Arial"/>
        <family val="2"/>
      </rPr>
      <t>1</t>
    </r>
  </si>
  <si>
    <r>
      <t>Baggage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 lbs max)</t>
    </r>
  </si>
  <si>
    <r>
      <t>1</t>
    </r>
    <r>
      <rPr>
        <b/>
        <sz val="10"/>
        <rFont val="Arial"/>
        <family val="2"/>
      </rPr>
      <t xml:space="preserve"> Utility Category Operations - NO baggage or aft passengers allowed</t>
    </r>
  </si>
  <si>
    <r>
      <t>Fuel (50 gal max)</t>
    </r>
    <r>
      <rPr>
        <b/>
        <vertAlign val="superscript"/>
        <sz val="10"/>
        <rFont val="Arial"/>
        <family val="2"/>
      </rPr>
      <t>2</t>
    </r>
  </si>
  <si>
    <r>
      <t>2</t>
    </r>
    <r>
      <rPr>
        <b/>
        <sz val="10"/>
        <rFont val="Arial"/>
        <family val="2"/>
      </rPr>
      <t xml:space="preserve"> 48 Gallons usable</t>
    </r>
  </si>
  <si>
    <r>
      <t>Total Loaded</t>
    </r>
    <r>
      <rPr>
        <b/>
        <vertAlign val="superscript"/>
        <sz val="10"/>
        <rFont val="Arial"/>
        <family val="2"/>
      </rPr>
      <t>3</t>
    </r>
  </si>
  <si>
    <r>
      <t>3</t>
    </r>
    <r>
      <rPr>
        <b/>
        <sz val="10"/>
        <rFont val="Arial"/>
        <family val="2"/>
      </rPr>
      <t xml:space="preserve"> Maximum gross weight is 2325 lbs</t>
    </r>
  </si>
  <si>
    <t>Vs0 (KIAS)</t>
  </si>
  <si>
    <t>m</t>
  </si>
  <si>
    <t>b</t>
  </si>
  <si>
    <r>
      <t xml:space="preserve">  V</t>
    </r>
    <r>
      <rPr>
        <b/>
        <vertAlign val="subscript"/>
        <sz val="9"/>
        <rFont val="Arial"/>
        <family val="2"/>
      </rPr>
      <t>S0</t>
    </r>
  </si>
  <si>
    <t xml:space="preserve">m </t>
  </si>
  <si>
    <t>PA-28-161    Indicated Stall Speed, Full Flaps (40º)</t>
  </si>
  <si>
    <t>PA-28-161    Indicated Stall Speed, No Flaps (0º)</t>
  </si>
  <si>
    <t>Vs1 (KIAS)</t>
  </si>
  <si>
    <r>
      <t xml:space="preserve">  V</t>
    </r>
    <r>
      <rPr>
        <b/>
        <vertAlign val="subscript"/>
        <sz val="9"/>
        <rFont val="Arial"/>
        <family val="2"/>
      </rPr>
      <t>S1</t>
    </r>
  </si>
  <si>
    <t xml:space="preserve">  Minutes</t>
  </si>
  <si>
    <r>
      <t xml:space="preserve"> V</t>
    </r>
    <r>
      <rPr>
        <b/>
        <vertAlign val="subscript"/>
        <sz val="10"/>
        <rFont val="Arial"/>
        <family val="2"/>
      </rPr>
      <t>R</t>
    </r>
  </si>
  <si>
    <t>Taxi/Runup</t>
  </si>
  <si>
    <t xml:space="preserve"> TO/Climb</t>
  </si>
  <si>
    <t xml:space="preserve"> Leg-climb</t>
  </si>
  <si>
    <t>version 1.3.2</t>
  </si>
  <si>
    <t>S43</t>
  </si>
  <si>
    <t>I-5 / I-405</t>
  </si>
  <si>
    <t>FoulW.Bluff</t>
  </si>
  <si>
    <t>CLM</t>
  </si>
  <si>
    <t>11S</t>
  </si>
  <si>
    <t>CTAF 122.9</t>
  </si>
  <si>
    <t>CVV</t>
  </si>
  <si>
    <t>TOU</t>
  </si>
  <si>
    <t>16</t>
  </si>
  <si>
    <t>1016</t>
  </si>
  <si>
    <t>291</t>
  </si>
  <si>
    <t>1300</t>
  </si>
  <si>
    <t>128.5</t>
  </si>
  <si>
    <t>123.00</t>
  </si>
  <si>
    <t>122.55</t>
  </si>
  <si>
    <t>135.175</t>
  </si>
  <si>
    <t>118.2</t>
  </si>
  <si>
    <t>122.6</t>
  </si>
  <si>
    <t>S43-CLM-11S-UIL-HQM-SHN-S43</t>
  </si>
  <si>
    <t>UIL</t>
  </si>
  <si>
    <t>W04</t>
  </si>
  <si>
    <t>HQM</t>
  </si>
  <si>
    <t>T 145</t>
  </si>
  <si>
    <t>C.Flattery</t>
  </si>
  <si>
    <t>F 151</t>
  </si>
  <si>
    <t>T 326</t>
  </si>
  <si>
    <t>194</t>
  </si>
  <si>
    <t>1200</t>
  </si>
  <si>
    <t>122.9</t>
  </si>
  <si>
    <t>135.225</t>
  </si>
  <si>
    <t>128.3</t>
  </si>
  <si>
    <t>122.25</t>
  </si>
  <si>
    <t>13</t>
  </si>
  <si>
    <t>1000</t>
  </si>
  <si>
    <t>135.775</t>
  </si>
  <si>
    <t>18</t>
  </si>
  <si>
    <t>122.7</t>
  </si>
  <si>
    <t>122.2</t>
  </si>
  <si>
    <t>SHN</t>
  </si>
  <si>
    <t>DYES</t>
  </si>
  <si>
    <t>350</t>
  </si>
  <si>
    <t>1350</t>
  </si>
  <si>
    <t>ASOS</t>
  </si>
  <si>
    <t>34</t>
  </si>
  <si>
    <t xml:space="preserve">     Traffic</t>
  </si>
  <si>
    <t>31</t>
  </si>
  <si>
    <t>R</t>
  </si>
  <si>
    <t>L</t>
  </si>
  <si>
    <t>06</t>
  </si>
  <si>
    <t>26</t>
  </si>
  <si>
    <t>04</t>
  </si>
  <si>
    <t>22</t>
  </si>
  <si>
    <t>24</t>
  </si>
  <si>
    <t>14</t>
  </si>
  <si>
    <t>32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</si>
</sst>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"/>
    <numFmt numFmtId="166" formatCode="0.00000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1" fillId="2" borderId="13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9" fillId="0" borderId="0" xfId="0" applyFont="1" applyAlignment="1">
      <alignment/>
    </xf>
    <xf numFmtId="0" fontId="10" fillId="0" borderId="1" xfId="0" applyFont="1" applyBorder="1" applyAlignment="1">
      <alignment vertical="top"/>
    </xf>
    <xf numFmtId="0" fontId="9" fillId="0" borderId="10" xfId="0" applyFont="1" applyBorder="1" applyAlignment="1">
      <alignment/>
    </xf>
    <xf numFmtId="0" fontId="10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8" fillId="2" borderId="11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7" fillId="2" borderId="13" xfId="0" applyFont="1" applyFill="1" applyBorder="1" applyAlignment="1">
      <alignment vertical="center"/>
    </xf>
    <xf numFmtId="0" fontId="5" fillId="0" borderId="8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0" fillId="2" borderId="11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8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1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3" fillId="0" borderId="12" xfId="0" applyNumberFormat="1" applyFont="1" applyBorder="1" applyAlignment="1" applyProtection="1">
      <alignment horizontal="right" vertical="center"/>
      <protection locked="0"/>
    </xf>
    <xf numFmtId="164" fontId="16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right" vertical="center"/>
      <protection locked="0"/>
    </xf>
    <xf numFmtId="164" fontId="5" fillId="3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 applyProtection="1">
      <alignment horizontal="center" vertical="center"/>
      <protection locked="0"/>
    </xf>
    <xf numFmtId="165" fontId="12" fillId="3" borderId="1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 applyProtection="1">
      <alignment horizontal="center" vertical="center"/>
      <protection/>
    </xf>
    <xf numFmtId="164" fontId="3" fillId="3" borderId="15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49" fontId="14" fillId="0" borderId="11" xfId="0" applyNumberFormat="1" applyFont="1" applyBorder="1" applyAlignment="1" applyProtection="1">
      <alignment horizontal="left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0" borderId="1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164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12" fillId="0" borderId="11" xfId="0" applyFont="1" applyBorder="1" applyAlignment="1" applyProtection="1">
      <alignment vertical="center"/>
      <protection locked="0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0" fillId="4" borderId="0" xfId="0" applyNumberFormat="1" applyFont="1" applyFill="1" applyAlignment="1">
      <alignment horizontal="center" vertical="center"/>
    </xf>
    <xf numFmtId="164" fontId="0" fillId="4" borderId="0" xfId="0" applyNumberFormat="1" applyFont="1" applyFill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64" fontId="0" fillId="4" borderId="0" xfId="0" applyNumberFormat="1" applyFill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164" fontId="13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2" fontId="5" fillId="3" borderId="13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49" fontId="12" fillId="0" borderId="11" xfId="0" applyNumberFormat="1" applyFont="1" applyBorder="1" applyAlignment="1" applyProtection="1">
      <alignment horizontal="right" vertical="center"/>
      <protection locked="0"/>
    </xf>
    <xf numFmtId="49" fontId="12" fillId="0" borderId="12" xfId="0" applyNumberFormat="1" applyFont="1" applyBorder="1" applyAlignment="1" applyProtection="1">
      <alignment horizontal="righ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vertical="center"/>
      <protection/>
    </xf>
    <xf numFmtId="0" fontId="5" fillId="3" borderId="12" xfId="0" applyFont="1" applyFill="1" applyBorder="1" applyAlignment="1">
      <alignment vertical="center"/>
    </xf>
    <xf numFmtId="0" fontId="5" fillId="3" borderId="12" xfId="0" applyFont="1" applyFill="1" applyBorder="1" applyAlignment="1" applyProtection="1">
      <alignment vertical="center"/>
      <protection/>
    </xf>
    <xf numFmtId="2" fontId="5" fillId="3" borderId="13" xfId="0" applyNumberFormat="1" applyFont="1" applyFill="1" applyBorder="1" applyAlignment="1" applyProtection="1">
      <alignment vertical="center"/>
      <protection/>
    </xf>
    <xf numFmtId="1" fontId="12" fillId="3" borderId="3" xfId="0" applyNumberFormat="1" applyFont="1" applyFill="1" applyBorder="1" applyAlignment="1" applyProtection="1">
      <alignment horizontal="center" vertical="center"/>
      <protection locked="0"/>
    </xf>
    <xf numFmtId="164" fontId="12" fillId="3" borderId="13" xfId="0" applyNumberFormat="1" applyFont="1" applyFill="1" applyBorder="1" applyAlignment="1" applyProtection="1">
      <alignment vertical="center"/>
      <protection locked="0"/>
    </xf>
    <xf numFmtId="1" fontId="12" fillId="3" borderId="13" xfId="0" applyNumberFormat="1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'W&amp;B'!$C$8</c:f>
              <c:numCache/>
            </c:numRef>
          </c:xVal>
          <c:yVal>
            <c:numRef>
              <c:f>'W&amp;B'!$B$8</c:f>
              <c:numCache/>
            </c:numRef>
          </c:yVal>
          <c:smooth val="0"/>
        </c:ser>
        <c:axId val="2457552"/>
        <c:axId val="22117969"/>
      </c:scatterChart>
      <c:valAx>
        <c:axId val="2457552"/>
        <c:scaling>
          <c:orientation val="minMax"/>
          <c:max val="94"/>
          <c:min val="8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2117969"/>
        <c:crossesAt val="1200"/>
        <c:crossBetween val="midCat"/>
        <c:dispUnits/>
        <c:majorUnit val="1"/>
        <c:minorUnit val="1"/>
      </c:valAx>
      <c:valAx>
        <c:axId val="22117969"/>
        <c:scaling>
          <c:orientation val="minMax"/>
          <c:max val="2500"/>
          <c:min val="120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2457552"/>
        <c:crossesAt val="82"/>
        <c:crossBetween val="midCat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Va!$A$4:$A$5</c:f>
              <c:numCache/>
            </c:numRef>
          </c:xVal>
          <c:yVal>
            <c:numRef>
              <c:f>Va!$B$4:$B$5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Va!$A$8</c:f>
              <c:numCache/>
            </c:numRef>
          </c:xVal>
          <c:yVal>
            <c:numRef>
              <c:f>Va!$B$8</c:f>
              <c:numCache/>
            </c:numRef>
          </c:yVal>
          <c:smooth val="0"/>
        </c:ser>
        <c:axId val="64843994"/>
        <c:axId val="46725035"/>
      </c:scatterChart>
      <c:valAx>
        <c:axId val="64843994"/>
        <c:scaling>
          <c:orientation val="minMax"/>
          <c:max val="2400"/>
          <c:min val="1500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crossAx val="46725035"/>
        <c:crosses val="autoZero"/>
        <c:crossBetween val="midCat"/>
        <c:dispUnits/>
        <c:majorUnit val="100"/>
        <c:minorUnit val="50"/>
      </c:valAx>
      <c:valAx>
        <c:axId val="4672503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6484399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Vs!$A$4:$A$5</c:f>
              <c:numCache/>
            </c:numRef>
          </c:xVal>
          <c:yVal>
            <c:numRef>
              <c:f>Vs!$B$4:$B$5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Vs!$A$8</c:f>
              <c:numCache/>
            </c:numRef>
          </c:xVal>
          <c:yVal>
            <c:numRef>
              <c:f>Vs!$B$8</c:f>
              <c:numCache/>
            </c:numRef>
          </c:yVal>
          <c:smooth val="0"/>
        </c:ser>
        <c:axId val="17872132"/>
        <c:axId val="26631461"/>
      </c:scatterChart>
      <c:valAx>
        <c:axId val="17872132"/>
        <c:scaling>
          <c:orientation val="minMax"/>
          <c:max val="2400"/>
          <c:min val="1500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crossAx val="26631461"/>
        <c:crossesAt val="30"/>
        <c:crossBetween val="midCat"/>
        <c:dispUnits/>
        <c:majorUnit val="100"/>
        <c:minorUnit val="50"/>
      </c:valAx>
      <c:valAx>
        <c:axId val="26631461"/>
        <c:scaling>
          <c:orientation val="minMax"/>
          <c:max val="60"/>
          <c:min val="3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1787213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Vs!$A$28:$A$29</c:f>
              <c:numCache/>
            </c:numRef>
          </c:xVal>
          <c:yVal>
            <c:numRef>
              <c:f>Vs!$B$28:$B$29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Vs!$A$32</c:f>
              <c:numCache/>
            </c:numRef>
          </c:xVal>
          <c:yVal>
            <c:numRef>
              <c:f>Vs!$B$32</c:f>
              <c:numCache/>
            </c:numRef>
          </c:yVal>
          <c:smooth val="0"/>
        </c:ser>
        <c:axId val="38356558"/>
        <c:axId val="9664703"/>
      </c:scatterChart>
      <c:valAx>
        <c:axId val="38356558"/>
        <c:scaling>
          <c:orientation val="minMax"/>
          <c:max val="2400"/>
          <c:min val="1500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crossAx val="9664703"/>
        <c:crossesAt val="30"/>
        <c:crossBetween val="midCat"/>
        <c:dispUnits/>
        <c:majorUnit val="100"/>
        <c:minorUnit val="50"/>
      </c:valAx>
      <c:valAx>
        <c:axId val="9664703"/>
        <c:scaling>
          <c:orientation val="minMax"/>
          <c:max val="60"/>
          <c:min val="3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3835655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0.175</cdr:y>
    </cdr:from>
    <cdr:to>
      <cdr:x>0.882</cdr:x>
      <cdr:y>0.877</cdr:y>
    </cdr:to>
    <cdr:grpSp>
      <cdr:nvGrpSpPr>
        <cdr:cNvPr id="1" name="Group 6"/>
        <cdr:cNvGrpSpPr>
          <a:grpSpLocks/>
        </cdr:cNvGrpSpPr>
      </cdr:nvGrpSpPr>
      <cdr:grpSpPr>
        <a:xfrm>
          <a:off x="714375" y="495300"/>
          <a:ext cx="2200275" cy="2009775"/>
          <a:chOff x="665988" y="940489"/>
          <a:chExt cx="1785023" cy="1803825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 flipH="1" flipV="1">
            <a:off x="682499" y="1542967"/>
            <a:ext cx="0" cy="120134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V="1">
            <a:off x="665988" y="940489"/>
            <a:ext cx="723827" cy="61781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3"/>
          <cdr:cNvSpPr>
            <a:spLocks/>
          </cdr:cNvSpPr>
        </cdr:nvSpPr>
        <cdr:spPr>
          <a:xfrm>
            <a:off x="1389815" y="940489"/>
            <a:ext cx="1061196" cy="31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>
            <a:off x="2451011" y="940489"/>
            <a:ext cx="0" cy="180247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5"/>
          <cdr:cNvSpPr>
            <a:spLocks/>
          </cdr:cNvSpPr>
        </cdr:nvSpPr>
        <cdr:spPr>
          <a:xfrm flipV="1">
            <a:off x="827086" y="1421208"/>
            <a:ext cx="162392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10</xdr:col>
      <xdr:colOff>257175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667250" y="257175"/>
        <a:ext cx="3305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9</xdr:col>
      <xdr:colOff>419100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24100" y="180975"/>
        <a:ext cx="40767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9</xdr:col>
      <xdr:colOff>419100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24100" y="180975"/>
        <a:ext cx="40767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19050</xdr:rowOff>
    </xdr:from>
    <xdr:to>
      <xdr:col>9</xdr:col>
      <xdr:colOff>419100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2324100" y="4067175"/>
        <a:ext cx="40767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4</v>
      </c>
      <c r="H4" s="254"/>
      <c r="I4" s="253">
        <f>LOOKUP(F12,Climb!B19:B43,Climb!H19:H43)</f>
        <v>5.75</v>
      </c>
      <c r="J4" s="255"/>
      <c r="K4" s="256">
        <f>LOOKUP(F12,Climb!B19:B43,Climb!G19:G43)</f>
        <v>1.075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1.2857142857142858</v>
      </c>
      <c r="H5" s="244"/>
      <c r="I5" s="183">
        <f>IF(AND(N12&lt;&gt;"",I4&lt;&gt;""),N12-I4,"")</f>
        <v>2.25</v>
      </c>
      <c r="J5" s="184"/>
      <c r="K5" s="243">
        <f>IF(AND(G5&lt;&gt;"",R9&lt;&gt;""),$R$9*(G5/60),"")</f>
        <v>0.19285714285714287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v>48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206</v>
      </c>
      <c r="B11" s="155"/>
      <c r="C11" s="156"/>
      <c r="D11" s="233"/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60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5" ht="21" customHeight="1">
      <c r="A12" s="157"/>
      <c r="B12" s="158"/>
      <c r="C12" s="159"/>
      <c r="D12" s="146"/>
      <c r="E12" s="228" t="s">
        <v>172</v>
      </c>
      <c r="F12" s="152">
        <v>2500</v>
      </c>
      <c r="G12" s="169">
        <v>0</v>
      </c>
      <c r="H12" s="140">
        <v>0</v>
      </c>
      <c r="I12" s="235">
        <f>I9</f>
        <v>105</v>
      </c>
      <c r="J12" s="150">
        <v>230</v>
      </c>
      <c r="K12" s="180">
        <f>IF(AND(J12&lt;&gt;0,J13&lt;&gt;""),MOD(J12+J13,360),"")</f>
        <v>230</v>
      </c>
      <c r="L12" s="180">
        <f>IF(AND(K12&lt;&gt;0,K12&lt;&gt;""),MOD(K12+K13,360),"")</f>
        <v>211</v>
      </c>
      <c r="M12" s="177">
        <f>IF(AND(L12&lt;&gt;0,L12&lt;&gt;""),MOD(L12+L13,360),"")</f>
        <v>211</v>
      </c>
      <c r="N12" s="149">
        <v>8</v>
      </c>
      <c r="O12" s="175">
        <f>IF(AND(J12&lt;&gt;"",J13&lt;&gt;""),H12*COS(RADIANS(J12-(180+G12)))+I12*COS(RADIANS(J13)),"")</f>
        <v>105</v>
      </c>
      <c r="P12" s="182">
        <f>IF(AND(G4&lt;&gt;"",G5&lt;&gt;""),G4+G5,"")</f>
        <v>5.285714285714286</v>
      </c>
      <c r="Q12" s="146"/>
      <c r="R12" s="174">
        <f>IF(AND(K3&lt;&gt;"",K4&lt;&gt;"",K5&lt;&gt;""),K3+K4+K5,"")</f>
        <v>2.067857142857143</v>
      </c>
      <c r="S12" s="189"/>
      <c r="T12" s="173"/>
      <c r="U12" s="25" t="s">
        <v>32</v>
      </c>
      <c r="V12" s="21"/>
      <c r="W12" s="189"/>
      <c r="X12" s="173"/>
      <c r="Y12" s="214"/>
    </row>
    <row r="13" spans="1:24" ht="21" customHeight="1">
      <c r="A13" s="154" t="s">
        <v>207</v>
      </c>
      <c r="B13" s="155"/>
      <c r="C13" s="156"/>
      <c r="D13" s="233"/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52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45.93214285714286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/>
      <c r="C14" s="159"/>
      <c r="D14" s="146"/>
      <c r="E14" s="228"/>
      <c r="F14" s="152">
        <v>4500</v>
      </c>
      <c r="G14" s="150">
        <v>0</v>
      </c>
      <c r="H14" s="142">
        <v>0</v>
      </c>
      <c r="I14" s="235">
        <f>I9</f>
        <v>105</v>
      </c>
      <c r="J14" s="150">
        <v>298</v>
      </c>
      <c r="K14" s="180">
        <f>IF(AND(J14&lt;&gt;0,J15&lt;&gt;""),MOD(J14+J15,360),"")</f>
        <v>298</v>
      </c>
      <c r="L14" s="180">
        <f>IF(AND(K14&lt;&gt;0,K14&lt;&gt;""),MOD(K14+K15,360),"")</f>
        <v>279</v>
      </c>
      <c r="M14" s="177">
        <f>IF(AND(L14&lt;&gt;0,L14&lt;&gt;""),MOD(L14+L15,360),"")</f>
        <v>279</v>
      </c>
      <c r="N14" s="149">
        <v>15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8.571428571428571</v>
      </c>
      <c r="Q14" s="146"/>
      <c r="R14" s="174">
        <f>IF(AND(P14&lt;&gt;"",R9&lt;&gt;""),(P14/60)*$R$9,"")</f>
        <v>1.2857142857142856</v>
      </c>
      <c r="S14" s="249" t="s">
        <v>214</v>
      </c>
      <c r="T14" s="250" t="s">
        <v>249</v>
      </c>
      <c r="U14" s="25" t="s">
        <v>31</v>
      </c>
      <c r="V14" s="21"/>
      <c r="W14" s="251" t="s">
        <v>238</v>
      </c>
      <c r="X14" s="252" t="s">
        <v>251</v>
      </c>
    </row>
    <row r="15" spans="1:24" ht="21" customHeight="1">
      <c r="A15" s="154" t="s">
        <v>208</v>
      </c>
      <c r="B15" s="155"/>
      <c r="C15" s="156"/>
      <c r="D15" s="245" t="s">
        <v>212</v>
      </c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37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44.64642857142857</v>
      </c>
      <c r="S15" s="249" t="s">
        <v>252</v>
      </c>
      <c r="T15" s="250" t="s">
        <v>253</v>
      </c>
      <c r="U15" s="26" t="s">
        <v>250</v>
      </c>
      <c r="V15" s="22"/>
      <c r="W15" s="251" t="s">
        <v>253</v>
      </c>
      <c r="X15" s="252" t="s">
        <v>252</v>
      </c>
    </row>
    <row r="16" spans="1:24" ht="21" customHeight="1">
      <c r="A16" s="157"/>
      <c r="B16" s="158"/>
      <c r="C16" s="159"/>
      <c r="D16" s="142">
        <v>117.2</v>
      </c>
      <c r="E16" s="228"/>
      <c r="F16" s="152">
        <v>4500</v>
      </c>
      <c r="G16" s="150">
        <v>0</v>
      </c>
      <c r="H16" s="142">
        <v>0</v>
      </c>
      <c r="I16" s="235">
        <f>I9</f>
        <v>105</v>
      </c>
      <c r="J16" s="150">
        <v>287</v>
      </c>
      <c r="K16" s="180">
        <f>IF(AND(J16&lt;&gt;0,J17&lt;&gt;""),MOD(J16+J17,360),"")</f>
        <v>287</v>
      </c>
      <c r="L16" s="180">
        <f>IF(AND(K16&lt;&gt;0,K16&lt;&gt;""),MOD(K16+K17,360),"")</f>
        <v>268</v>
      </c>
      <c r="M16" s="177">
        <f>IF(AND(L16&lt;&gt;0,L16&lt;&gt;""),MOD(L16+L17,360),"")</f>
        <v>268</v>
      </c>
      <c r="N16" s="149">
        <v>37</v>
      </c>
      <c r="O16" s="175">
        <f>IF(AND(J16&lt;&gt;"",J17&lt;&gt;""),H16*COS(RADIANS(J16-(180+G16)))+I16*COS(RADIANS(J17)),"")</f>
        <v>105</v>
      </c>
      <c r="P16" s="182">
        <f>IF(AND(N16&lt;&gt;0,O16&lt;&gt;0,N16&lt;&gt;"",O16&lt;&gt;""),(N16/O16)*60,"")</f>
        <v>21.142857142857146</v>
      </c>
      <c r="Q16" s="146"/>
      <c r="R16" s="174">
        <f>IF(AND(P16&lt;&gt;""),(P16/60)*$R$9,"")</f>
        <v>3.1714285714285717</v>
      </c>
      <c r="S16" s="189"/>
      <c r="T16" s="173" t="s">
        <v>214</v>
      </c>
      <c r="U16" s="25" t="s">
        <v>156</v>
      </c>
      <c r="V16" s="167"/>
      <c r="W16" s="191" t="s">
        <v>216</v>
      </c>
      <c r="X16" s="173"/>
    </row>
    <row r="17" spans="1:24" ht="21" customHeight="1">
      <c r="A17" s="154" t="s">
        <v>209</v>
      </c>
      <c r="B17" s="155"/>
      <c r="C17" s="156"/>
      <c r="D17" s="245" t="s">
        <v>213</v>
      </c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  <v>0</v>
      </c>
      <c r="K17" s="150">
        <v>-19</v>
      </c>
      <c r="L17" s="150"/>
      <c r="M17" s="179"/>
      <c r="N17" s="175">
        <f>IF(AND(N15&lt;&gt;0,N16&lt;&gt;0,N16&lt;&gt;"",N15&lt;&gt;""),N15-N16,"")</f>
        <v>0</v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  <v>41.475</v>
      </c>
      <c r="S17" s="189"/>
      <c r="T17" s="173" t="s">
        <v>215</v>
      </c>
      <c r="U17" s="25" t="s">
        <v>157</v>
      </c>
      <c r="V17" s="167"/>
      <c r="W17" s="189" t="s">
        <v>217</v>
      </c>
      <c r="X17" s="173"/>
    </row>
    <row r="18" spans="1:24" ht="21" customHeight="1">
      <c r="A18" s="157"/>
      <c r="B18" s="158"/>
      <c r="C18" s="159"/>
      <c r="D18" s="142">
        <v>112.2</v>
      </c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206</v>
      </c>
      <c r="U21" s="162"/>
      <c r="V21" s="161"/>
      <c r="W21" s="160" t="s">
        <v>209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23</v>
      </c>
      <c r="T22" s="170"/>
      <c r="U22" s="171"/>
      <c r="V22" s="232" t="s">
        <v>23</v>
      </c>
      <c r="W22" s="170" t="s">
        <v>221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222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218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219</v>
      </c>
      <c r="U26" s="171"/>
      <c r="V26" s="24" t="s">
        <v>26</v>
      </c>
      <c r="W26" s="170" t="s">
        <v>219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220</v>
      </c>
      <c r="U27" s="171"/>
      <c r="V27" s="24" t="s">
        <v>27</v>
      </c>
      <c r="W27" s="170" t="s">
        <v>223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35</v>
      </c>
      <c r="Q28" s="142"/>
      <c r="R28" s="136"/>
      <c r="S28" s="24" t="s">
        <v>29</v>
      </c>
      <c r="T28" s="170" t="s">
        <v>219</v>
      </c>
      <c r="U28" s="171"/>
      <c r="V28" s="24" t="s">
        <v>29</v>
      </c>
      <c r="W28" s="170" t="s">
        <v>219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7.85</v>
      </c>
      <c r="H4" s="254"/>
      <c r="I4" s="253">
        <f>LOOKUP(F12,Climb!B19:B43,Climb!H19:H43)</f>
        <v>10.85</v>
      </c>
      <c r="J4" s="255"/>
      <c r="K4" s="256">
        <f>LOOKUP(F12,Climb!B19:B43,Climb!G19:G43)</f>
        <v>1.935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13.228571428571428</v>
      </c>
      <c r="H5" s="244"/>
      <c r="I5" s="183">
        <f>IF(AND(N12&lt;&gt;"",I4&lt;&gt;""),N12-I4,"")</f>
        <v>23.15</v>
      </c>
      <c r="J5" s="184"/>
      <c r="K5" s="243">
        <f>IF(AND(G5&lt;&gt;"",R9&lt;&gt;""),$R$9*(G5/60),"")</f>
        <v>1.9842857142857142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'S43-CLM'!R17</f>
        <v>41.475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209</v>
      </c>
      <c r="B11" s="155"/>
      <c r="C11" s="156"/>
      <c r="D11" s="233"/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34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146"/>
      <c r="E12" s="228" t="s">
        <v>172</v>
      </c>
      <c r="F12" s="152">
        <v>4500</v>
      </c>
      <c r="G12" s="169">
        <v>0</v>
      </c>
      <c r="H12" s="140">
        <v>0</v>
      </c>
      <c r="I12" s="235">
        <f>I9</f>
        <v>105</v>
      </c>
      <c r="J12" s="150">
        <v>286</v>
      </c>
      <c r="K12" s="180">
        <f>IF(AND(J12&lt;&gt;0,J13&lt;&gt;""),MOD(J12+J13,360),"")</f>
        <v>286</v>
      </c>
      <c r="L12" s="180">
        <f>IF(AND(K12&lt;&gt;0,K12&lt;&gt;""),MOD(K12+K13,360),"")</f>
        <v>267</v>
      </c>
      <c r="M12" s="177">
        <f>IF(AND(L12&lt;&gt;0,L12&lt;&gt;""),MOD(L12+L13,360),"")</f>
        <v>267</v>
      </c>
      <c r="N12" s="149">
        <v>34</v>
      </c>
      <c r="O12" s="175">
        <f>IF(AND(J12&lt;&gt;"",J13&lt;&gt;""),H12*COS(RADIANS(J12-(180+G12)))+I12*COS(RADIANS(J13)),"")</f>
        <v>105</v>
      </c>
      <c r="P12" s="182">
        <f>IF(AND(G4&lt;&gt;"",G5&lt;&gt;""),G4+G5,"")</f>
        <v>21.07857142857143</v>
      </c>
      <c r="Q12" s="146"/>
      <c r="R12" s="174">
        <f>IF(AND(K3&lt;&gt;"",K4&lt;&gt;"",K5&lt;&gt;""),K3+K4+K5,"")</f>
        <v>4.719285714285714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210</v>
      </c>
      <c r="B13" s="155"/>
      <c r="C13" s="156"/>
      <c r="D13" s="233"/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0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36.75571428571429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8" t="s">
        <v>211</v>
      </c>
      <c r="B14" s="248"/>
      <c r="C14" s="159"/>
      <c r="D14" s="146"/>
      <c r="E14" s="228"/>
      <c r="F14" s="152"/>
      <c r="G14" s="150">
        <v>0</v>
      </c>
      <c r="H14" s="142">
        <v>0</v>
      </c>
      <c r="I14" s="235">
        <f>I9</f>
        <v>105</v>
      </c>
      <c r="J14" s="150"/>
      <c r="K14" s="180">
        <f>IF(AND(J14&lt;&gt;0,J15&lt;&gt;""),MOD(J14+J15,360),"")</f>
      </c>
      <c r="L14" s="180">
        <f>IF(AND(K14&lt;&gt;0,K14&lt;&gt;""),MOD(K14+K15,360),"")</f>
      </c>
      <c r="M14" s="177">
        <f>IF(AND(L14&lt;&gt;0,L14&lt;&gt;""),MOD(L14+L15,360),"")</f>
      </c>
      <c r="N14" s="149"/>
      <c r="O14" s="175">
        <f>IF(AND(J14&lt;&gt;"",J15&lt;&gt;""),H14*COS(RADIANS(J14-(180+G14)))+I14*COS(RADIANS(J15)),"")</f>
      </c>
      <c r="P14" s="182">
        <f>IF(AND(N14&lt;&gt;0,O14&lt;&gt;0,N14&lt;&gt;"",O14&lt;&gt;""),(N14/O14)*60,"")</f>
      </c>
      <c r="Q14" s="146"/>
      <c r="R14" s="174">
        <f>IF(AND(P14&lt;&gt;"",R9&lt;&gt;""),(P14/60)*$R$9,"")</f>
      </c>
      <c r="S14" s="249" t="s">
        <v>238</v>
      </c>
      <c r="T14" s="250" t="s">
        <v>251</v>
      </c>
      <c r="U14" s="25" t="s">
        <v>31</v>
      </c>
      <c r="V14" s="21"/>
      <c r="W14" s="251" t="s">
        <v>254</v>
      </c>
      <c r="X14" s="252" t="s">
        <v>255</v>
      </c>
    </row>
    <row r="15" spans="1:24" ht="21" customHeight="1">
      <c r="A15" s="154"/>
      <c r="B15" s="155"/>
      <c r="C15" s="156"/>
      <c r="D15" s="245"/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</c>
      <c r="K15" s="150">
        <v>-19</v>
      </c>
      <c r="L15" s="150"/>
      <c r="M15" s="178"/>
      <c r="N15" s="175">
        <f>IF(AND(N13&lt;&gt;0,N14&lt;&gt;0,N14&lt;&gt;"",N13&lt;&gt;""),N13-N14,"")</f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</c>
      <c r="S15" s="249" t="s">
        <v>253</v>
      </c>
      <c r="T15" s="250" t="s">
        <v>252</v>
      </c>
      <c r="U15" s="26" t="s">
        <v>250</v>
      </c>
      <c r="V15" s="22"/>
      <c r="W15" s="251" t="s">
        <v>253</v>
      </c>
      <c r="X15" s="252" t="s">
        <v>253</v>
      </c>
    </row>
    <row r="16" spans="1:24" ht="21" customHeight="1">
      <c r="A16" s="157"/>
      <c r="B16" s="158"/>
      <c r="C16" s="159"/>
      <c r="D16" s="142"/>
      <c r="E16" s="228"/>
      <c r="F16" s="152"/>
      <c r="G16" s="150">
        <v>0</v>
      </c>
      <c r="H16" s="142">
        <v>0</v>
      </c>
      <c r="I16" s="235">
        <f>I9</f>
        <v>105</v>
      </c>
      <c r="J16" s="150"/>
      <c r="K16" s="180">
        <f>IF(AND(J16&lt;&gt;0,J17&lt;&gt;""),MOD(J16+J17,360),"")</f>
      </c>
      <c r="L16" s="180">
        <f>IF(AND(K16&lt;&gt;0,K16&lt;&gt;""),MOD(K16+K17,360),"")</f>
      </c>
      <c r="M16" s="177">
        <f>IF(AND(L16&lt;&gt;0,L16&lt;&gt;""),MOD(L16+L17,360),"")</f>
      </c>
      <c r="N16" s="149"/>
      <c r="O16" s="175">
        <f>IF(AND(J16&lt;&gt;"",J17&lt;&gt;""),H16*COS(RADIANS(J16-(180+G16)))+I16*COS(RADIANS(J17)),"")</f>
      </c>
      <c r="P16" s="182">
        <f>IF(AND(N16&lt;&gt;0,O16&lt;&gt;0,N16&lt;&gt;"",O16&lt;&gt;""),(N16/O16)*60,"")</f>
      </c>
      <c r="Q16" s="146"/>
      <c r="R16" s="174">
        <f>IF(AND(P16&lt;&gt;""),(P16/60)*$R$9,"")</f>
      </c>
      <c r="S16" s="189"/>
      <c r="T16" s="173" t="s">
        <v>216</v>
      </c>
      <c r="U16" s="25" t="s">
        <v>156</v>
      </c>
      <c r="V16" s="167"/>
      <c r="W16" s="191" t="s">
        <v>246</v>
      </c>
      <c r="X16" s="173"/>
    </row>
    <row r="17" spans="1:24" ht="21" customHeight="1">
      <c r="A17" s="154"/>
      <c r="B17" s="155"/>
      <c r="C17" s="156"/>
      <c r="D17" s="245"/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</c>
      <c r="K17" s="150">
        <v>-19</v>
      </c>
      <c r="L17" s="150"/>
      <c r="M17" s="179"/>
      <c r="N17" s="175">
        <f>IF(AND(N15&lt;&gt;0,N16&lt;&gt;0,N16&lt;&gt;"",N15&lt;&gt;""),N15-N16,"")</f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</c>
      <c r="S17" s="189"/>
      <c r="T17" s="173" t="s">
        <v>217</v>
      </c>
      <c r="U17" s="25" t="s">
        <v>157</v>
      </c>
      <c r="V17" s="167"/>
      <c r="W17" s="189" t="s">
        <v>247</v>
      </c>
      <c r="X17" s="173"/>
    </row>
    <row r="18" spans="1:24" ht="21" customHeight="1">
      <c r="A18" s="157"/>
      <c r="B18" s="158"/>
      <c r="C18" s="159"/>
      <c r="D18" s="142"/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209</v>
      </c>
      <c r="U21" s="162"/>
      <c r="V21" s="161"/>
      <c r="W21" s="160" t="s">
        <v>210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221</v>
      </c>
      <c r="U22" s="171"/>
      <c r="V22" s="232" t="s">
        <v>248</v>
      </c>
      <c r="W22" s="170" t="s">
        <v>221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222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222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219</v>
      </c>
      <c r="U26" s="171"/>
      <c r="V26" s="24" t="s">
        <v>26</v>
      </c>
      <c r="W26" s="170" t="s">
        <v>234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223</v>
      </c>
      <c r="U27" s="171"/>
      <c r="V27" s="24" t="s">
        <v>27</v>
      </c>
      <c r="W27" s="170" t="s">
        <v>223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21.07857142857143</v>
      </c>
      <c r="Q28" s="142"/>
      <c r="R28" s="136"/>
      <c r="S28" s="24" t="s">
        <v>29</v>
      </c>
      <c r="T28" s="170" t="s">
        <v>219</v>
      </c>
      <c r="U28" s="171"/>
      <c r="V28" s="24" t="s">
        <v>29</v>
      </c>
      <c r="W28" s="170" t="s">
        <v>234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5.85</v>
      </c>
      <c r="H4" s="254"/>
      <c r="I4" s="253">
        <f>LOOKUP(F12,Climb!B19:B43,Climb!H19:H43)</f>
        <v>8.25</v>
      </c>
      <c r="J4" s="255"/>
      <c r="K4" s="256">
        <f>LOOKUP(F12,Climb!B19:B43,Climb!G19:G43)</f>
        <v>1.505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5.571428571428571</v>
      </c>
      <c r="H5" s="244"/>
      <c r="I5" s="183">
        <f>IF(AND(N12&lt;&gt;"",I4&lt;&gt;""),N12-I4,"")</f>
        <v>9.75</v>
      </c>
      <c r="J5" s="184"/>
      <c r="K5" s="243">
        <f>IF(AND(G5&lt;&gt;"",R9&lt;&gt;""),$R$9*(G5/60),"")</f>
        <v>0.8357142857142856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'CLM-11S'!R13</f>
        <v>36.75571428571429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210</v>
      </c>
      <c r="B11" s="155"/>
      <c r="C11" s="156"/>
      <c r="D11" s="233" t="s">
        <v>213</v>
      </c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46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146">
        <v>112.2</v>
      </c>
      <c r="E12" s="228" t="s">
        <v>172</v>
      </c>
      <c r="F12" s="152">
        <v>3500</v>
      </c>
      <c r="G12" s="169">
        <v>0</v>
      </c>
      <c r="H12" s="140">
        <v>0</v>
      </c>
      <c r="I12" s="235">
        <f>I9</f>
        <v>105</v>
      </c>
      <c r="J12" s="150">
        <v>286</v>
      </c>
      <c r="K12" s="180">
        <f>IF(AND(J12&lt;&gt;0,J13&lt;&gt;""),MOD(J12+J13,360),"")</f>
        <v>286</v>
      </c>
      <c r="L12" s="180">
        <f>IF(AND(K12&lt;&gt;0,K12&lt;&gt;""),MOD(K12+K13,360),"")</f>
        <v>267</v>
      </c>
      <c r="M12" s="177">
        <f>IF(AND(L12&lt;&gt;0,L12&lt;&gt;""),MOD(L12+L13,360),"")</f>
        <v>267</v>
      </c>
      <c r="N12" s="149">
        <v>18</v>
      </c>
      <c r="O12" s="175">
        <f>IF(AND(J12&lt;&gt;"",J13&lt;&gt;""),H12*COS(RADIANS(J12-(180+G12)))+I12*COS(RADIANS(J13)),"")</f>
        <v>105</v>
      </c>
      <c r="P12" s="182">
        <f>IF(AND(G4&lt;&gt;"",G5&lt;&gt;""),G4+G5,"")</f>
        <v>11.42142857142857</v>
      </c>
      <c r="Q12" s="146"/>
      <c r="R12" s="174">
        <f>IF(AND(K3&lt;&gt;"",K4&lt;&gt;"",K5&lt;&gt;""),K3+K4+K5,"")</f>
        <v>3.140714285714285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229</v>
      </c>
      <c r="B13" s="155"/>
      <c r="C13" s="156"/>
      <c r="D13" s="233"/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28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33.61500000000001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/>
      <c r="C14" s="159"/>
      <c r="D14" s="146"/>
      <c r="E14" s="228"/>
      <c r="F14" s="152">
        <v>3500</v>
      </c>
      <c r="G14" s="150">
        <v>0</v>
      </c>
      <c r="H14" s="142">
        <v>0</v>
      </c>
      <c r="I14" s="235">
        <f>I9</f>
        <v>105</v>
      </c>
      <c r="J14" s="150">
        <v>166</v>
      </c>
      <c r="K14" s="180">
        <f>IF(AND(J14&lt;&gt;0,J15&lt;&gt;""),MOD(J14+J15,360),"")</f>
        <v>166</v>
      </c>
      <c r="L14" s="180">
        <f>IF(AND(K14&lt;&gt;0,K14&lt;&gt;""),MOD(K14+K15,360),"")</f>
        <v>147</v>
      </c>
      <c r="M14" s="177">
        <f>IF(AND(L14&lt;&gt;0,L14&lt;&gt;""),MOD(L14+L15,360),"")</f>
        <v>147</v>
      </c>
      <c r="N14" s="149">
        <v>28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16</v>
      </c>
      <c r="Q14" s="146"/>
      <c r="R14" s="174">
        <f>IF(AND(P14&lt;&gt;"",R9&lt;&gt;""),(P14/60)*$R$9,"")</f>
        <v>2.4</v>
      </c>
      <c r="S14" s="249" t="s">
        <v>254</v>
      </c>
      <c r="T14" s="250" t="s">
        <v>255</v>
      </c>
      <c r="U14" s="25" t="s">
        <v>31</v>
      </c>
      <c r="V14" s="21"/>
      <c r="W14" s="251" t="s">
        <v>256</v>
      </c>
      <c r="X14" s="252" t="s">
        <v>257</v>
      </c>
    </row>
    <row r="15" spans="1:24" ht="21" customHeight="1">
      <c r="A15" s="154" t="s">
        <v>225</v>
      </c>
      <c r="B15" s="155"/>
      <c r="C15" s="246" t="s">
        <v>230</v>
      </c>
      <c r="D15" s="245" t="s">
        <v>213</v>
      </c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0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31.21500000000001</v>
      </c>
      <c r="S15" s="249" t="s">
        <v>253</v>
      </c>
      <c r="T15" s="250" t="s">
        <v>253</v>
      </c>
      <c r="U15" s="26" t="s">
        <v>250</v>
      </c>
      <c r="V15" s="22"/>
      <c r="W15" s="251" t="s">
        <v>253</v>
      </c>
      <c r="X15" s="252" t="s">
        <v>253</v>
      </c>
    </row>
    <row r="16" spans="1:24" ht="21" customHeight="1">
      <c r="A16" s="157"/>
      <c r="B16" s="158"/>
      <c r="C16" s="247" t="s">
        <v>231</v>
      </c>
      <c r="D16" s="142">
        <v>112.2</v>
      </c>
      <c r="E16" s="228"/>
      <c r="F16" s="152"/>
      <c r="G16" s="150">
        <v>0</v>
      </c>
      <c r="H16" s="142">
        <v>0</v>
      </c>
      <c r="I16" s="235">
        <f>I9</f>
        <v>105</v>
      </c>
      <c r="J16" s="150"/>
      <c r="K16" s="180">
        <f>IF(AND(J16&lt;&gt;0,J17&lt;&gt;""),MOD(J16+J17,360),"")</f>
      </c>
      <c r="L16" s="180">
        <f>IF(AND(K16&lt;&gt;0,K16&lt;&gt;""),MOD(K16+K17,360),"")</f>
      </c>
      <c r="M16" s="177">
        <f>IF(AND(L16&lt;&gt;0,L16&lt;&gt;""),MOD(L16+L17,360),"")</f>
      </c>
      <c r="N16" s="149"/>
      <c r="O16" s="175">
        <f>IF(AND(J16&lt;&gt;"",J17&lt;&gt;""),H16*COS(RADIANS(J16-(180+G16)))+I16*COS(RADIANS(J17)),"")</f>
      </c>
      <c r="P16" s="182">
        <f>IF(AND(N16&lt;&gt;0,O16&lt;&gt;0,N16&lt;&gt;"",O16&lt;&gt;""),(N16/O16)*60,"")</f>
      </c>
      <c r="Q16" s="146"/>
      <c r="R16" s="174">
        <f>IF(AND(P16&lt;&gt;""),(P16/60)*$R$9,"")</f>
      </c>
      <c r="S16" s="189"/>
      <c r="T16" s="173" t="s">
        <v>246</v>
      </c>
      <c r="U16" s="25" t="s">
        <v>156</v>
      </c>
      <c r="V16" s="167"/>
      <c r="W16" s="191" t="s">
        <v>232</v>
      </c>
      <c r="X16" s="173"/>
    </row>
    <row r="17" spans="1:24" ht="21" customHeight="1">
      <c r="A17" s="154"/>
      <c r="B17" s="155"/>
      <c r="C17" s="156"/>
      <c r="D17" s="245" t="s">
        <v>227</v>
      </c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</c>
      <c r="K17" s="150">
        <v>-19</v>
      </c>
      <c r="L17" s="150"/>
      <c r="M17" s="179"/>
      <c r="N17" s="175">
        <f>IF(AND(N15&lt;&gt;0,N16&lt;&gt;0,N16&lt;&gt;"",N15&lt;&gt;""),N15-N16,"")</f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</c>
      <c r="S17" s="189"/>
      <c r="T17" s="173" t="s">
        <v>247</v>
      </c>
      <c r="U17" s="25" t="s">
        <v>157</v>
      </c>
      <c r="V17" s="167"/>
      <c r="W17" s="189" t="s">
        <v>233</v>
      </c>
      <c r="X17" s="173"/>
    </row>
    <row r="18" spans="1:24" ht="21" customHeight="1">
      <c r="A18" s="157"/>
      <c r="B18" s="158"/>
      <c r="C18" s="159"/>
      <c r="D18" s="142">
        <v>117.7</v>
      </c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210</v>
      </c>
      <c r="U21" s="162"/>
      <c r="V21" s="161"/>
      <c r="W21" s="160" t="s">
        <v>225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221</v>
      </c>
      <c r="U22" s="171"/>
      <c r="V22" s="232" t="s">
        <v>248</v>
      </c>
      <c r="W22" s="170" t="s">
        <v>235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236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222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234</v>
      </c>
      <c r="U26" s="171"/>
      <c r="V26" s="24" t="s">
        <v>26</v>
      </c>
      <c r="W26" s="170" t="s">
        <v>234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223</v>
      </c>
      <c r="U27" s="171"/>
      <c r="V27" s="24" t="s">
        <v>27</v>
      </c>
      <c r="W27" s="170" t="s">
        <v>237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27.42142857142857</v>
      </c>
      <c r="Q28" s="142"/>
      <c r="R28" s="136"/>
      <c r="S28" s="24" t="s">
        <v>29</v>
      </c>
      <c r="T28" s="170" t="s">
        <v>234</v>
      </c>
      <c r="U28" s="171"/>
      <c r="V28" s="24" t="s">
        <v>29</v>
      </c>
      <c r="W28" s="170" t="s">
        <v>234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5.85</v>
      </c>
      <c r="H4" s="254"/>
      <c r="I4" s="253">
        <f>LOOKUP(F12,Climb!B19:B43,Climb!H19:H43)</f>
        <v>8.25</v>
      </c>
      <c r="J4" s="255"/>
      <c r="K4" s="256">
        <f>LOOKUP(F12,Climb!B19:B43,Climb!G19:G43)</f>
        <v>1.505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29</v>
      </c>
      <c r="H5" s="244"/>
      <c r="I5" s="183">
        <f>IF(AND(N12&lt;&gt;"",I4&lt;&gt;""),N12-I4,"")</f>
        <v>50.75</v>
      </c>
      <c r="J5" s="184"/>
      <c r="K5" s="243">
        <f>IF(AND(G5&lt;&gt;"",R9&lt;&gt;""),$R$9*(G5/60),"")</f>
        <v>4.35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'11S-UIL'!R15</f>
        <v>31.21500000000001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225</v>
      </c>
      <c r="B11" s="155"/>
      <c r="C11" s="156"/>
      <c r="D11" s="233" t="s">
        <v>213</v>
      </c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68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261">
        <v>112.2</v>
      </c>
      <c r="E12" s="228" t="s">
        <v>172</v>
      </c>
      <c r="F12" s="152">
        <v>3500</v>
      </c>
      <c r="G12" s="169">
        <v>0</v>
      </c>
      <c r="H12" s="140">
        <v>0</v>
      </c>
      <c r="I12" s="235">
        <f>I9</f>
        <v>105</v>
      </c>
      <c r="J12" s="150">
        <v>163</v>
      </c>
      <c r="K12" s="180">
        <f>IF(AND(J12&lt;&gt;0,J13&lt;&gt;""),MOD(J12+J13,360),"")</f>
        <v>163</v>
      </c>
      <c r="L12" s="180">
        <f>IF(AND(K12&lt;&gt;0,K12&lt;&gt;""),MOD(K12+K13,360),"")</f>
        <v>144</v>
      </c>
      <c r="M12" s="177">
        <f>IF(AND(L12&lt;&gt;0,L12&lt;&gt;""),MOD(L12+L13,360),"")</f>
        <v>144</v>
      </c>
      <c r="N12" s="149">
        <v>59</v>
      </c>
      <c r="O12" s="175">
        <f>IF(AND(J12&lt;&gt;"",J13&lt;&gt;""),H12*COS(RADIANS(J12-(180+G12)))+I12*COS(RADIANS(J13)),"")</f>
        <v>105</v>
      </c>
      <c r="P12" s="182">
        <f>IF(AND(G4&lt;&gt;"",G5&lt;&gt;""),G4+G5,"")</f>
        <v>34.85</v>
      </c>
      <c r="Q12" s="146"/>
      <c r="R12" s="174">
        <f>IF(AND(K3&lt;&gt;"",K4&lt;&gt;"",K5&lt;&gt;""),K3+K4+K5,"")</f>
        <v>6.654999999999999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226</v>
      </c>
      <c r="B13" s="155"/>
      <c r="C13" s="156"/>
      <c r="D13" s="233" t="s">
        <v>227</v>
      </c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9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24.56000000000001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 t="s">
        <v>228</v>
      </c>
      <c r="C14" s="159"/>
      <c r="D14" s="146">
        <v>117.7</v>
      </c>
      <c r="E14" s="228"/>
      <c r="F14" s="152">
        <v>1500</v>
      </c>
      <c r="G14" s="150">
        <v>0</v>
      </c>
      <c r="H14" s="142">
        <v>0</v>
      </c>
      <c r="I14" s="235">
        <f>I9</f>
        <v>105</v>
      </c>
      <c r="J14" s="150">
        <v>100</v>
      </c>
      <c r="K14" s="180">
        <f>IF(AND(J14&lt;&gt;0,J15&lt;&gt;""),MOD(J14+J15,360),"")</f>
        <v>100</v>
      </c>
      <c r="L14" s="180">
        <f>IF(AND(K14&lt;&gt;0,K14&lt;&gt;""),MOD(K14+K15,360),"")</f>
        <v>81</v>
      </c>
      <c r="M14" s="177">
        <f>IF(AND(L14&lt;&gt;0,L14&lt;&gt;""),MOD(L14+L15,360),"")</f>
        <v>81</v>
      </c>
      <c r="N14" s="149">
        <v>9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5.142857142857143</v>
      </c>
      <c r="Q14" s="146"/>
      <c r="R14" s="174">
        <f>IF(AND(P14&lt;&gt;"",R9&lt;&gt;""),(P14/60)*$R$9,"")</f>
        <v>0.7714285714285715</v>
      </c>
      <c r="S14" s="249" t="s">
        <v>256</v>
      </c>
      <c r="T14" s="250" t="s">
        <v>257</v>
      </c>
      <c r="U14" s="25" t="s">
        <v>31</v>
      </c>
      <c r="V14" s="21"/>
      <c r="W14" s="251" t="s">
        <v>254</v>
      </c>
      <c r="X14" s="252" t="s">
        <v>258</v>
      </c>
    </row>
    <row r="15" spans="1:24" ht="21" customHeight="1">
      <c r="A15" s="154" t="s">
        <v>227</v>
      </c>
      <c r="B15" s="155"/>
      <c r="C15" s="156"/>
      <c r="D15" s="245"/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0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23.788571428571437</v>
      </c>
      <c r="S15" s="249" t="s">
        <v>253</v>
      </c>
      <c r="T15" s="250" t="s">
        <v>253</v>
      </c>
      <c r="U15" s="26" t="s">
        <v>250</v>
      </c>
      <c r="V15" s="22"/>
      <c r="W15" s="251" t="s">
        <v>252</v>
      </c>
      <c r="X15" s="252" t="s">
        <v>253</v>
      </c>
    </row>
    <row r="16" spans="1:24" ht="21" customHeight="1">
      <c r="A16" s="157"/>
      <c r="B16" s="158"/>
      <c r="C16" s="159"/>
      <c r="D16" s="142"/>
      <c r="E16" s="228"/>
      <c r="F16" s="152"/>
      <c r="G16" s="150">
        <v>0</v>
      </c>
      <c r="H16" s="142">
        <v>0</v>
      </c>
      <c r="I16" s="235">
        <f>I9</f>
        <v>105</v>
      </c>
      <c r="J16" s="150"/>
      <c r="K16" s="180">
        <f>IF(AND(J16&lt;&gt;0,J17&lt;&gt;""),MOD(J16+J17,360),"")</f>
      </c>
      <c r="L16" s="180">
        <f>IF(AND(K16&lt;&gt;0,K16&lt;&gt;""),MOD(K16+K17,360),"")</f>
      </c>
      <c r="M16" s="177">
        <f>IF(AND(L16&lt;&gt;0,L16&lt;&gt;""),MOD(L16+L17,360),"")</f>
      </c>
      <c r="N16" s="149"/>
      <c r="O16" s="175">
        <f>IF(AND(J16&lt;&gt;"",J17&lt;&gt;""),H16*COS(RADIANS(J16-(180+G16)))+I16*COS(RADIANS(J17)),"")</f>
      </c>
      <c r="P16" s="182">
        <f>IF(AND(N16&lt;&gt;0,O16&lt;&gt;0,N16&lt;&gt;"",O16&lt;&gt;""),(N16/O16)*60,"")</f>
      </c>
      <c r="Q16" s="146"/>
      <c r="R16" s="174">
        <f>IF(AND(P16&lt;&gt;""),(P16/60)*$R$9,"")</f>
      </c>
      <c r="S16" s="189"/>
      <c r="T16" s="173" t="s">
        <v>232</v>
      </c>
      <c r="U16" s="25" t="s">
        <v>156</v>
      </c>
      <c r="V16" s="167"/>
      <c r="W16" s="191" t="s">
        <v>241</v>
      </c>
      <c r="X16" s="173"/>
    </row>
    <row r="17" spans="1:24" ht="21" customHeight="1">
      <c r="A17" s="154"/>
      <c r="B17" s="155"/>
      <c r="C17" s="156"/>
      <c r="D17" s="245"/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</c>
      <c r="K17" s="150">
        <v>-19</v>
      </c>
      <c r="L17" s="150"/>
      <c r="M17" s="179"/>
      <c r="N17" s="175">
        <f>IF(AND(N15&lt;&gt;0,N16&lt;&gt;0,N16&lt;&gt;"",N15&lt;&gt;""),N15-N16,"")</f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</c>
      <c r="S17" s="189"/>
      <c r="T17" s="173" t="s">
        <v>233</v>
      </c>
      <c r="U17" s="25" t="s">
        <v>157</v>
      </c>
      <c r="V17" s="167"/>
      <c r="W17" s="189" t="s">
        <v>239</v>
      </c>
      <c r="X17" s="173"/>
    </row>
    <row r="18" spans="1:24" ht="21" customHeight="1">
      <c r="A18" s="157"/>
      <c r="B18" s="158"/>
      <c r="C18" s="159"/>
      <c r="D18" s="142"/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225</v>
      </c>
      <c r="U21" s="162"/>
      <c r="V21" s="161"/>
      <c r="W21" s="160" t="s">
        <v>227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235</v>
      </c>
      <c r="U22" s="171"/>
      <c r="V22" s="232" t="s">
        <v>248</v>
      </c>
      <c r="W22" s="170" t="s">
        <v>240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236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236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234</v>
      </c>
      <c r="U26" s="171"/>
      <c r="V26" s="24" t="s">
        <v>26</v>
      </c>
      <c r="W26" s="170" t="s">
        <v>242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237</v>
      </c>
      <c r="U27" s="171"/>
      <c r="V27" s="24" t="s">
        <v>27</v>
      </c>
      <c r="W27" s="170" t="s">
        <v>243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39.99285714285715</v>
      </c>
      <c r="Q28" s="142"/>
      <c r="R28" s="136"/>
      <c r="S28" s="24" t="s">
        <v>29</v>
      </c>
      <c r="T28" s="170" t="s">
        <v>234</v>
      </c>
      <c r="U28" s="171"/>
      <c r="V28" s="24" t="s">
        <v>29</v>
      </c>
      <c r="W28" s="170" t="s">
        <v>242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5.85</v>
      </c>
      <c r="H4" s="254"/>
      <c r="I4" s="253">
        <f>LOOKUP(F12,Climb!B19:B43,Climb!H19:H43)</f>
        <v>8.25</v>
      </c>
      <c r="J4" s="255"/>
      <c r="K4" s="256">
        <f>LOOKUP(F12,Climb!B19:B43,Climb!G19:G43)</f>
        <v>1.505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15.857142857142858</v>
      </c>
      <c r="H5" s="244"/>
      <c r="I5" s="183">
        <f>IF(AND(N12&lt;&gt;"",I4&lt;&gt;""),N12-I4,"")</f>
        <v>27.75</v>
      </c>
      <c r="J5" s="184"/>
      <c r="K5" s="243">
        <f>IF(AND(G5&lt;&gt;"",R9&lt;&gt;""),$R$9*(G5/60),"")</f>
        <v>2.3785714285714286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'UIL-HQM'!R15</f>
        <v>23.788571428571437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227</v>
      </c>
      <c r="B11" s="155"/>
      <c r="C11" s="156"/>
      <c r="D11" s="233" t="s">
        <v>213</v>
      </c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95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146">
        <v>112.2</v>
      </c>
      <c r="E12" s="228" t="s">
        <v>172</v>
      </c>
      <c r="F12" s="152">
        <v>3500</v>
      </c>
      <c r="G12" s="169">
        <v>0</v>
      </c>
      <c r="H12" s="140">
        <v>0</v>
      </c>
      <c r="I12" s="235">
        <f>I9</f>
        <v>105</v>
      </c>
      <c r="J12" s="150">
        <v>64</v>
      </c>
      <c r="K12" s="180">
        <f>IF(AND(J12&lt;&gt;0,J13&lt;&gt;""),MOD(J12+J13,360),"")</f>
        <v>64</v>
      </c>
      <c r="L12" s="180">
        <f>IF(AND(K12&lt;&gt;0,K12&lt;&gt;""),MOD(K12+K13,360),"")</f>
        <v>45</v>
      </c>
      <c r="M12" s="177">
        <f>IF(AND(L12&lt;&gt;0,L12&lt;&gt;""),MOD(L12+L13,360),"")</f>
        <v>45</v>
      </c>
      <c r="N12" s="149">
        <v>36</v>
      </c>
      <c r="O12" s="175">
        <f>IF(AND(J12&lt;&gt;"",J13&lt;&gt;""),H12*COS(RADIANS(J12-(180+G12)))+I12*COS(RADIANS(J13)),"")</f>
        <v>105</v>
      </c>
      <c r="P12" s="182">
        <f>IF(AND(G4&lt;&gt;"",G5&lt;&gt;""),G4+G5,"")</f>
        <v>21.707142857142856</v>
      </c>
      <c r="Q12" s="146"/>
      <c r="R12" s="174">
        <f>IF(AND(K3&lt;&gt;"",K4&lt;&gt;"",K5&lt;&gt;""),K3+K4+K5,"")</f>
        <v>4.683571428571428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244</v>
      </c>
      <c r="B13" s="155"/>
      <c r="C13" s="156"/>
      <c r="D13" s="233" t="s">
        <v>227</v>
      </c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59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19.10500000000001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/>
      <c r="C14" s="159"/>
      <c r="D14" s="146">
        <v>117.7</v>
      </c>
      <c r="E14" s="228"/>
      <c r="F14" s="152">
        <v>3500</v>
      </c>
      <c r="G14" s="150">
        <v>0</v>
      </c>
      <c r="H14" s="142">
        <v>0</v>
      </c>
      <c r="I14" s="235">
        <f>I9</f>
        <v>105</v>
      </c>
      <c r="J14" s="150">
        <v>37</v>
      </c>
      <c r="K14" s="180">
        <f>IF(AND(J14&lt;&gt;0,J15&lt;&gt;""),MOD(J14+J15,360),"")</f>
        <v>37</v>
      </c>
      <c r="L14" s="180">
        <f>IF(AND(K14&lt;&gt;0,K14&lt;&gt;""),MOD(K14+K15,360),"")</f>
        <v>18</v>
      </c>
      <c r="M14" s="177">
        <f>IF(AND(L14&lt;&gt;0,L14&lt;&gt;""),MOD(L14+L15,360),"")</f>
        <v>18</v>
      </c>
      <c r="N14" s="149">
        <v>30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17.142857142857142</v>
      </c>
      <c r="Q14" s="146"/>
      <c r="R14" s="174">
        <f>IF(AND(P14&lt;&gt;"",R9&lt;&gt;""),(P14/60)*$R$9,"")</f>
        <v>2.571428571428571</v>
      </c>
      <c r="S14" s="249" t="s">
        <v>254</v>
      </c>
      <c r="T14" s="250" t="s">
        <v>258</v>
      </c>
      <c r="U14" s="25" t="s">
        <v>31</v>
      </c>
      <c r="V14" s="21"/>
      <c r="W14" s="251" t="s">
        <v>259</v>
      </c>
      <c r="X14" s="252" t="s">
        <v>260</v>
      </c>
    </row>
    <row r="15" spans="1:24" ht="21" customHeight="1">
      <c r="A15" s="154" t="s">
        <v>245</v>
      </c>
      <c r="B15" s="155"/>
      <c r="C15" s="156"/>
      <c r="D15" s="245"/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29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16.53357142857144</v>
      </c>
      <c r="S15" s="249" t="s">
        <v>252</v>
      </c>
      <c r="T15" s="250" t="s">
        <v>253</v>
      </c>
      <c r="U15" s="26" t="s">
        <v>250</v>
      </c>
      <c r="V15" s="22"/>
      <c r="W15" s="251" t="s">
        <v>252</v>
      </c>
      <c r="X15" s="252" t="s">
        <v>253</v>
      </c>
    </row>
    <row r="16" spans="1:24" ht="21" customHeight="1">
      <c r="A16" s="157"/>
      <c r="B16" s="158"/>
      <c r="C16" s="159"/>
      <c r="D16" s="142"/>
      <c r="E16" s="228"/>
      <c r="F16" s="152">
        <v>3500</v>
      </c>
      <c r="G16" s="150">
        <v>0</v>
      </c>
      <c r="H16" s="142">
        <v>0</v>
      </c>
      <c r="I16" s="235">
        <f>I9</f>
        <v>105</v>
      </c>
      <c r="J16" s="150">
        <v>55</v>
      </c>
      <c r="K16" s="180">
        <f>IF(AND(J16&lt;&gt;0,J17&lt;&gt;""),MOD(J16+J17,360),"")</f>
        <v>55</v>
      </c>
      <c r="L16" s="180">
        <f>IF(AND(K16&lt;&gt;0,K16&lt;&gt;""),MOD(K16+K17,360),"")</f>
        <v>36</v>
      </c>
      <c r="M16" s="177">
        <f>IF(AND(L16&lt;&gt;0,L16&lt;&gt;""),MOD(L16+L17,360),"")</f>
        <v>36</v>
      </c>
      <c r="N16" s="149">
        <v>29</v>
      </c>
      <c r="O16" s="175">
        <f>IF(AND(J16&lt;&gt;"",J17&lt;&gt;""),H16*COS(RADIANS(J16-(180+G16)))+I16*COS(RADIANS(J17)),"")</f>
        <v>105</v>
      </c>
      <c r="P16" s="182">
        <f>IF(AND(N16&lt;&gt;0,O16&lt;&gt;0,N16&lt;&gt;"",O16&lt;&gt;""),(N16/O16)*60,"")</f>
        <v>16.571428571428573</v>
      </c>
      <c r="Q16" s="146"/>
      <c r="R16" s="174">
        <f>IF(AND(P16&lt;&gt;""),(P16/60)*$R$9,"")</f>
        <v>2.4857142857142858</v>
      </c>
      <c r="S16" s="189"/>
      <c r="T16" s="173" t="s">
        <v>241</v>
      </c>
      <c r="U16" s="25" t="s">
        <v>156</v>
      </c>
      <c r="V16" s="167"/>
      <c r="W16" s="191" t="s">
        <v>214</v>
      </c>
      <c r="X16" s="173"/>
    </row>
    <row r="17" spans="1:24" ht="21" customHeight="1">
      <c r="A17" s="154" t="s">
        <v>206</v>
      </c>
      <c r="B17" s="155"/>
      <c r="C17" s="156"/>
      <c r="D17" s="245"/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  <v>0</v>
      </c>
      <c r="K17" s="150">
        <v>-19</v>
      </c>
      <c r="L17" s="150"/>
      <c r="M17" s="179"/>
      <c r="N17" s="175">
        <f>IF(AND(N15&lt;&gt;0,N16&lt;&gt;0,N16&lt;&gt;"",N15&lt;&gt;""),N15-N16,"")</f>
        <v>0</v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  <v>14.047857142857156</v>
      </c>
      <c r="S17" s="189"/>
      <c r="T17" s="173" t="s">
        <v>239</v>
      </c>
      <c r="U17" s="25" t="s">
        <v>157</v>
      </c>
      <c r="V17" s="167"/>
      <c r="W17" s="189" t="s">
        <v>215</v>
      </c>
      <c r="X17" s="173"/>
    </row>
    <row r="18" spans="1:24" ht="21" customHeight="1">
      <c r="A18" s="157"/>
      <c r="B18" s="158"/>
      <c r="C18" s="159"/>
      <c r="D18" s="142"/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227</v>
      </c>
      <c r="U21" s="162"/>
      <c r="V21" s="161"/>
      <c r="W21" s="160" t="s">
        <v>206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240</v>
      </c>
      <c r="U22" s="171"/>
      <c r="V22" s="232" t="s">
        <v>23</v>
      </c>
      <c r="W22" s="170"/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218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236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242</v>
      </c>
      <c r="U26" s="171"/>
      <c r="V26" s="24" t="s">
        <v>26</v>
      </c>
      <c r="W26" s="170" t="s">
        <v>219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243</v>
      </c>
      <c r="U27" s="171"/>
      <c r="V27" s="24" t="s">
        <v>27</v>
      </c>
      <c r="W27" s="170" t="s">
        <v>220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55.421428571428564</v>
      </c>
      <c r="Q28" s="142"/>
      <c r="R28" s="136"/>
      <c r="S28" s="24" t="s">
        <v>29</v>
      </c>
      <c r="T28" s="170" t="s">
        <v>242</v>
      </c>
      <c r="U28" s="171"/>
      <c r="V28" s="24" t="s">
        <v>29</v>
      </c>
      <c r="W28" s="170" t="s">
        <v>219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showGridLines="0" workbookViewId="0" topLeftCell="C17">
      <selection activeCell="I20" sqref="I20"/>
    </sheetView>
  </sheetViews>
  <sheetFormatPr defaultColWidth="9.140625" defaultRowHeight="12.75"/>
  <cols>
    <col min="10" max="10" width="20.57421875" style="0" customWidth="1"/>
  </cols>
  <sheetData>
    <row r="1" ht="12.75">
      <c r="A1" t="s">
        <v>127</v>
      </c>
    </row>
    <row r="2" ht="12.75">
      <c r="A2" t="s">
        <v>125</v>
      </c>
    </row>
    <row r="3" ht="12.75">
      <c r="A3" t="s">
        <v>126</v>
      </c>
    </row>
    <row r="5" ht="12.75">
      <c r="A5" t="s">
        <v>128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10" ht="12.75">
      <c r="A10" t="s">
        <v>129</v>
      </c>
    </row>
    <row r="11" ht="12.75">
      <c r="A11" t="s">
        <v>133</v>
      </c>
    </row>
    <row r="12" ht="12.75">
      <c r="A12" t="s">
        <v>134</v>
      </c>
    </row>
    <row r="13" ht="12.75">
      <c r="A13" t="s">
        <v>135</v>
      </c>
    </row>
    <row r="14" ht="12.75">
      <c r="A14" t="s">
        <v>136</v>
      </c>
    </row>
    <row r="16" spans="1:8" ht="15" customHeight="1">
      <c r="A16" s="127" t="s">
        <v>137</v>
      </c>
      <c r="B16" s="127" t="s">
        <v>139</v>
      </c>
      <c r="C16" s="127" t="s">
        <v>141</v>
      </c>
      <c r="D16" s="127" t="s">
        <v>143</v>
      </c>
      <c r="E16" s="127" t="s">
        <v>146</v>
      </c>
      <c r="F16" s="123" t="s">
        <v>154</v>
      </c>
      <c r="G16" s="130"/>
      <c r="H16" s="129"/>
    </row>
    <row r="17" spans="1:8" ht="15" customHeight="1">
      <c r="A17" s="17" t="s">
        <v>138</v>
      </c>
      <c r="B17" s="17" t="s">
        <v>5</v>
      </c>
      <c r="C17" s="17" t="s">
        <v>142</v>
      </c>
      <c r="D17" s="132" t="s">
        <v>144</v>
      </c>
      <c r="E17" s="132" t="s">
        <v>143</v>
      </c>
      <c r="F17" s="133" t="s">
        <v>148</v>
      </c>
      <c r="G17" s="133" t="s">
        <v>150</v>
      </c>
      <c r="H17" s="127" t="s">
        <v>152</v>
      </c>
    </row>
    <row r="18" spans="1:8" ht="15" customHeight="1">
      <c r="A18" s="126"/>
      <c r="B18" s="126" t="s">
        <v>140</v>
      </c>
      <c r="C18" s="126"/>
      <c r="D18" s="126" t="s">
        <v>145</v>
      </c>
      <c r="E18" s="126" t="s">
        <v>147</v>
      </c>
      <c r="F18" s="126" t="s">
        <v>149</v>
      </c>
      <c r="G18" s="126" t="s">
        <v>151</v>
      </c>
      <c r="H18" s="126" t="s">
        <v>153</v>
      </c>
    </row>
    <row r="19" spans="1:8" ht="15" customHeight="1">
      <c r="A19" s="17">
        <v>2325</v>
      </c>
      <c r="B19" s="128">
        <v>0</v>
      </c>
      <c r="C19" s="128">
        <v>15</v>
      </c>
      <c r="D19" s="128">
        <v>79</v>
      </c>
      <c r="E19" s="128">
        <v>706</v>
      </c>
      <c r="F19" s="209">
        <v>0</v>
      </c>
      <c r="G19" s="209">
        <v>0</v>
      </c>
      <c r="H19" s="209">
        <v>0</v>
      </c>
    </row>
    <row r="20" spans="1:8" ht="15" customHeight="1">
      <c r="A20" s="17"/>
      <c r="B20" s="128">
        <f>(B21+B19)/2</f>
        <v>500</v>
      </c>
      <c r="C20" s="128">
        <f>(C21+C19)/2</f>
        <v>14</v>
      </c>
      <c r="D20" s="128">
        <v>79</v>
      </c>
      <c r="E20" s="128">
        <f>(E19+E21)/2</f>
        <v>683</v>
      </c>
      <c r="F20" s="209">
        <f>(F19+F21)/2</f>
        <v>0.75</v>
      </c>
      <c r="G20" s="209">
        <f>(G19+G21)/2</f>
        <v>0.215</v>
      </c>
      <c r="H20" s="209">
        <f>(H19+H21)/2</f>
        <v>1.1</v>
      </c>
    </row>
    <row r="21" spans="1:8" ht="15" customHeight="1">
      <c r="A21" s="17"/>
      <c r="B21" s="128">
        <v>1000</v>
      </c>
      <c r="C21" s="128">
        <v>13</v>
      </c>
      <c r="D21" s="128">
        <v>79</v>
      </c>
      <c r="E21" s="128">
        <v>660</v>
      </c>
      <c r="F21" s="209">
        <v>1.5</v>
      </c>
      <c r="G21" s="209">
        <v>0.43</v>
      </c>
      <c r="H21" s="209">
        <v>2.2</v>
      </c>
    </row>
    <row r="22" spans="1:8" ht="15" customHeight="1">
      <c r="A22" s="17"/>
      <c r="B22" s="128">
        <f>(B23+B21)/2</f>
        <v>1500</v>
      </c>
      <c r="C22" s="128">
        <f>(C23+C21)/2</f>
        <v>12</v>
      </c>
      <c r="D22" s="128">
        <v>79</v>
      </c>
      <c r="E22" s="128">
        <f>(E21+E23)/2</f>
        <v>637</v>
      </c>
      <c r="F22" s="209">
        <f>(F21+F23)/2</f>
        <v>2.25</v>
      </c>
      <c r="G22" s="209">
        <f>(G21+G23)/2</f>
        <v>0.645</v>
      </c>
      <c r="H22" s="209">
        <f>(H21+H23)/2</f>
        <v>3.35</v>
      </c>
    </row>
    <row r="23" spans="1:8" ht="15" customHeight="1">
      <c r="A23" s="17"/>
      <c r="B23" s="128">
        <v>2000</v>
      </c>
      <c r="C23" s="128">
        <v>11</v>
      </c>
      <c r="D23" s="128">
        <v>79</v>
      </c>
      <c r="E23" s="128">
        <v>614</v>
      </c>
      <c r="F23" s="209">
        <v>3</v>
      </c>
      <c r="G23" s="209">
        <v>0.86</v>
      </c>
      <c r="H23" s="209">
        <v>4.5</v>
      </c>
    </row>
    <row r="24" spans="1:11" ht="15" customHeight="1">
      <c r="A24" s="17"/>
      <c r="B24" s="128">
        <f>(B25+B23)/2</f>
        <v>2500</v>
      </c>
      <c r="C24" s="128">
        <f>(C25+C23)/2</f>
        <v>10</v>
      </c>
      <c r="D24" s="128">
        <v>79</v>
      </c>
      <c r="E24" s="128">
        <f>(E23+E25)/2</f>
        <v>591</v>
      </c>
      <c r="F24" s="209">
        <f>(F23+F25)/2</f>
        <v>4</v>
      </c>
      <c r="G24" s="209">
        <f>(G23+G25)/2</f>
        <v>1.075</v>
      </c>
      <c r="H24" s="209">
        <f>(H23+H25)/2</f>
        <v>5.75</v>
      </c>
      <c r="J24" s="214"/>
      <c r="K24" s="215"/>
    </row>
    <row r="25" spans="1:11" ht="15" customHeight="1">
      <c r="A25" s="17"/>
      <c r="B25" s="128">
        <v>3000</v>
      </c>
      <c r="C25" s="128">
        <v>9</v>
      </c>
      <c r="D25" s="128">
        <v>79</v>
      </c>
      <c r="E25" s="128">
        <v>568</v>
      </c>
      <c r="F25" s="209">
        <v>5</v>
      </c>
      <c r="G25" s="209">
        <v>1.29</v>
      </c>
      <c r="H25" s="209">
        <v>7</v>
      </c>
      <c r="J25" s="214"/>
      <c r="K25" s="216"/>
    </row>
    <row r="26" spans="1:8" ht="15" customHeight="1">
      <c r="A26" s="17"/>
      <c r="B26" s="128">
        <f>(B27+B25)/2</f>
        <v>3500</v>
      </c>
      <c r="C26" s="128">
        <f>(C27+C25)/2</f>
        <v>8</v>
      </c>
      <c r="D26" s="128">
        <v>79</v>
      </c>
      <c r="E26" s="128">
        <f>(E25+E27)/2</f>
        <v>545</v>
      </c>
      <c r="F26" s="209">
        <f>(F25+F27)/2</f>
        <v>5.85</v>
      </c>
      <c r="G26" s="209">
        <f>(G25+G27)/2</f>
        <v>1.505</v>
      </c>
      <c r="H26" s="209">
        <f>(H25+H27)/2</f>
        <v>8.25</v>
      </c>
    </row>
    <row r="27" spans="1:8" ht="15" customHeight="1">
      <c r="A27" s="17"/>
      <c r="B27" s="128">
        <v>4000</v>
      </c>
      <c r="C27" s="128">
        <v>7</v>
      </c>
      <c r="D27" s="128">
        <v>79</v>
      </c>
      <c r="E27" s="128">
        <v>522</v>
      </c>
      <c r="F27" s="209">
        <v>6.7</v>
      </c>
      <c r="G27" s="209">
        <v>1.72</v>
      </c>
      <c r="H27" s="209">
        <v>9.5</v>
      </c>
    </row>
    <row r="28" spans="1:10" ht="15" customHeight="1">
      <c r="A28" s="17"/>
      <c r="B28" s="128">
        <f>(B29+B27)/2</f>
        <v>4500</v>
      </c>
      <c r="C28" s="128">
        <f>(C29+C27)/2</f>
        <v>6</v>
      </c>
      <c r="D28" s="128">
        <v>79</v>
      </c>
      <c r="E28" s="128">
        <f>(E27+E29)/2</f>
        <v>499</v>
      </c>
      <c r="F28" s="209">
        <f>(F27+F29)/2</f>
        <v>7.85</v>
      </c>
      <c r="G28" s="209">
        <f>(G27+G29)/2</f>
        <v>1.935</v>
      </c>
      <c r="H28" s="209">
        <f>(H27+H29)/2</f>
        <v>10.85</v>
      </c>
      <c r="J28" s="214"/>
    </row>
    <row r="29" spans="1:11" ht="15" customHeight="1">
      <c r="A29" s="17"/>
      <c r="B29" s="128">
        <v>5000</v>
      </c>
      <c r="C29" s="128">
        <v>5</v>
      </c>
      <c r="D29" s="128">
        <v>79</v>
      </c>
      <c r="E29" s="128">
        <v>476</v>
      </c>
      <c r="F29" s="209">
        <v>9</v>
      </c>
      <c r="G29" s="209">
        <v>2.15</v>
      </c>
      <c r="H29" s="209">
        <v>12.2</v>
      </c>
      <c r="J29" s="214"/>
      <c r="K29" s="216"/>
    </row>
    <row r="30" spans="1:8" ht="15" customHeight="1">
      <c r="A30" s="17"/>
      <c r="B30" s="128">
        <f>(B31+B29)/2</f>
        <v>5500</v>
      </c>
      <c r="C30" s="128">
        <f>(C31+C29)/2</f>
        <v>4</v>
      </c>
      <c r="D30" s="128">
        <v>79</v>
      </c>
      <c r="E30" s="128">
        <f>(E29+E31)/2</f>
        <v>453</v>
      </c>
      <c r="F30" s="209">
        <f>(F29+F31)/2</f>
        <v>10</v>
      </c>
      <c r="G30" s="209">
        <f>(G29+G31)/2</f>
        <v>2.365</v>
      </c>
      <c r="H30" s="209">
        <f>(H29+H31)/2</f>
        <v>13.85</v>
      </c>
    </row>
    <row r="31" spans="1:8" ht="15" customHeight="1">
      <c r="A31" s="17"/>
      <c r="B31" s="128">
        <v>6000</v>
      </c>
      <c r="C31" s="128">
        <v>3</v>
      </c>
      <c r="D31" s="128">
        <v>79</v>
      </c>
      <c r="E31" s="128">
        <v>430</v>
      </c>
      <c r="F31" s="209">
        <v>11</v>
      </c>
      <c r="G31" s="209">
        <v>2.58</v>
      </c>
      <c r="H31" s="209">
        <v>15.5</v>
      </c>
    </row>
    <row r="32" spans="1:11" ht="15" customHeight="1">
      <c r="A32" s="17"/>
      <c r="B32" s="128">
        <f>(B33+B31)/2</f>
        <v>6500</v>
      </c>
      <c r="C32" s="128">
        <f>(C33+C31)/2</f>
        <v>2</v>
      </c>
      <c r="D32" s="128">
        <v>79</v>
      </c>
      <c r="E32" s="128">
        <f>(E31+E33)/2</f>
        <v>407</v>
      </c>
      <c r="F32" s="209">
        <f>(F31+F33)/2</f>
        <v>12.25</v>
      </c>
      <c r="G32" s="209">
        <f>(G31+G33)/2</f>
        <v>2.795</v>
      </c>
      <c r="H32" s="209">
        <f>(H31+H33)/2</f>
        <v>17.25</v>
      </c>
      <c r="J32" s="214"/>
      <c r="K32" s="217"/>
    </row>
    <row r="33" spans="1:11" ht="15" customHeight="1">
      <c r="A33" s="17"/>
      <c r="B33" s="128">
        <v>7000</v>
      </c>
      <c r="C33" s="128">
        <v>1</v>
      </c>
      <c r="D33" s="128">
        <v>79</v>
      </c>
      <c r="E33" s="128">
        <v>384</v>
      </c>
      <c r="F33" s="209">
        <v>13.5</v>
      </c>
      <c r="G33" s="209">
        <v>3.01</v>
      </c>
      <c r="H33" s="209">
        <v>19</v>
      </c>
      <c r="J33" s="214"/>
      <c r="K33" s="217"/>
    </row>
    <row r="34" spans="1:11" ht="15" customHeight="1">
      <c r="A34" s="17"/>
      <c r="B34" s="128">
        <f>(B35+B33)/2</f>
        <v>7500</v>
      </c>
      <c r="C34" s="128">
        <f>(C35+C33)/2</f>
        <v>0</v>
      </c>
      <c r="D34" s="128">
        <v>79</v>
      </c>
      <c r="E34" s="128">
        <f>(E33+E35)/2</f>
        <v>361</v>
      </c>
      <c r="F34" s="209">
        <f>(F33+F35)/2</f>
        <v>15</v>
      </c>
      <c r="G34" s="209">
        <f>(G33+G35)/2</f>
        <v>3.2249999999999996</v>
      </c>
      <c r="H34" s="209">
        <f>(H33+H35)/2</f>
        <v>21</v>
      </c>
      <c r="J34" s="214"/>
      <c r="K34" s="217"/>
    </row>
    <row r="35" spans="1:8" ht="15" customHeight="1">
      <c r="A35" s="17"/>
      <c r="B35" s="128">
        <v>8000</v>
      </c>
      <c r="C35" s="128">
        <v>-1</v>
      </c>
      <c r="D35" s="128">
        <v>79</v>
      </c>
      <c r="E35" s="128">
        <v>338</v>
      </c>
      <c r="F35" s="209">
        <v>16.5</v>
      </c>
      <c r="G35" s="209">
        <v>3.44</v>
      </c>
      <c r="H35" s="209">
        <v>23</v>
      </c>
    </row>
    <row r="36" spans="1:8" ht="15" customHeight="1">
      <c r="A36" s="17"/>
      <c r="B36" s="128">
        <f>(B37+B35)/2</f>
        <v>8500</v>
      </c>
      <c r="C36" s="128">
        <f>(C37+C35)/2</f>
        <v>-2</v>
      </c>
      <c r="D36" s="128">
        <v>79</v>
      </c>
      <c r="E36" s="128">
        <f>(E35+E37)/2</f>
        <v>315</v>
      </c>
      <c r="F36" s="209">
        <f>(F35+F37)/2</f>
        <v>18</v>
      </c>
      <c r="G36" s="209">
        <f>(G35+G37)/2</f>
        <v>3.6550000000000002</v>
      </c>
      <c r="H36" s="209">
        <f>(H35+H37)/2</f>
        <v>25.4</v>
      </c>
    </row>
    <row r="37" spans="1:8" ht="15" customHeight="1">
      <c r="A37" s="17"/>
      <c r="B37" s="128">
        <v>9000</v>
      </c>
      <c r="C37" s="128">
        <v>-3</v>
      </c>
      <c r="D37" s="128">
        <v>79</v>
      </c>
      <c r="E37" s="128">
        <v>292</v>
      </c>
      <c r="F37" s="209">
        <v>19.5</v>
      </c>
      <c r="G37" s="209">
        <v>3.87</v>
      </c>
      <c r="H37" s="209">
        <v>27.8</v>
      </c>
    </row>
    <row r="38" spans="1:8" ht="15" customHeight="1">
      <c r="A38" s="17"/>
      <c r="B38" s="128">
        <f>(B39+B37)/2</f>
        <v>9500</v>
      </c>
      <c r="C38" s="128">
        <f>(C39+C37)/2</f>
        <v>-4</v>
      </c>
      <c r="D38" s="128">
        <v>79</v>
      </c>
      <c r="E38" s="128">
        <f>(E37+E39)/2</f>
        <v>269</v>
      </c>
      <c r="F38" s="209">
        <f>(F37+F39)/2</f>
        <v>21.25</v>
      </c>
      <c r="G38" s="209">
        <f>(G37+G39)/2</f>
        <v>4.085</v>
      </c>
      <c r="H38" s="209">
        <f>(H37+H39)/2</f>
        <v>30.65</v>
      </c>
    </row>
    <row r="39" spans="1:8" ht="15" customHeight="1">
      <c r="A39" s="17"/>
      <c r="B39" s="128">
        <v>10000</v>
      </c>
      <c r="C39" s="128">
        <v>-5</v>
      </c>
      <c r="D39" s="128">
        <v>79</v>
      </c>
      <c r="E39" s="128">
        <v>246</v>
      </c>
      <c r="F39" s="209">
        <v>23</v>
      </c>
      <c r="G39" s="209">
        <v>4.3</v>
      </c>
      <c r="H39" s="209">
        <v>33.5</v>
      </c>
    </row>
    <row r="40" spans="1:8" ht="15" customHeight="1">
      <c r="A40" s="17"/>
      <c r="B40" s="128">
        <f>(B41+B39)/2</f>
        <v>10500</v>
      </c>
      <c r="C40" s="128">
        <f>(C41+C39)/2</f>
        <v>-6</v>
      </c>
      <c r="D40" s="128">
        <v>79</v>
      </c>
      <c r="E40" s="128">
        <f>(E39+E41)/2</f>
        <v>223</v>
      </c>
      <c r="F40" s="209">
        <f>(F39+F41)/2</f>
        <v>25.25</v>
      </c>
      <c r="G40" s="209">
        <f>(G39+G41)/2</f>
        <v>4.515000000000001</v>
      </c>
      <c r="H40" s="209">
        <f>(H39+H41)/2</f>
        <v>37.25</v>
      </c>
    </row>
    <row r="41" spans="1:8" ht="15" customHeight="1">
      <c r="A41" s="17"/>
      <c r="B41" s="128">
        <v>11000</v>
      </c>
      <c r="C41" s="128">
        <v>-7</v>
      </c>
      <c r="D41" s="128">
        <v>79</v>
      </c>
      <c r="E41" s="128">
        <v>200</v>
      </c>
      <c r="F41" s="209">
        <v>27.5</v>
      </c>
      <c r="G41" s="209">
        <v>4.73</v>
      </c>
      <c r="H41" s="209">
        <v>41</v>
      </c>
    </row>
    <row r="42" spans="1:8" ht="15" customHeight="1">
      <c r="A42" s="17"/>
      <c r="B42" s="128">
        <f>(B43+B41)/2</f>
        <v>11500</v>
      </c>
      <c r="C42" s="128">
        <f>(C43+C41)/2</f>
        <v>-8</v>
      </c>
      <c r="D42" s="128">
        <v>79</v>
      </c>
      <c r="E42" s="128">
        <f>(E41+E43)/2</f>
        <v>177</v>
      </c>
      <c r="F42" s="209">
        <f>(F41+F43)/2</f>
        <v>30.65</v>
      </c>
      <c r="G42" s="209">
        <f>(G41+G43)/2</f>
        <v>4.945</v>
      </c>
      <c r="H42" s="209">
        <f>(H41+H43)/2</f>
        <v>47.5</v>
      </c>
    </row>
    <row r="43" spans="1:8" ht="15" customHeight="1">
      <c r="A43" s="126"/>
      <c r="B43" s="128">
        <v>12000</v>
      </c>
      <c r="C43" s="128">
        <v>-9</v>
      </c>
      <c r="D43" s="128">
        <v>79</v>
      </c>
      <c r="E43" s="128">
        <v>154</v>
      </c>
      <c r="F43" s="209">
        <v>33.8</v>
      </c>
      <c r="G43" s="209">
        <v>5.16</v>
      </c>
      <c r="H43" s="209">
        <v>54</v>
      </c>
    </row>
    <row r="44" spans="1:8" ht="12.75">
      <c r="A44" s="131"/>
      <c r="B44" s="131"/>
      <c r="C44" s="131"/>
      <c r="D44" s="131"/>
      <c r="E44" s="131"/>
      <c r="F44" s="131"/>
      <c r="G44" s="131"/>
      <c r="H44" s="131"/>
    </row>
    <row r="45" spans="1:8" ht="12.75">
      <c r="A45" s="131"/>
      <c r="B45" s="131"/>
      <c r="C45" s="131"/>
      <c r="D45" s="131"/>
      <c r="E45" s="131"/>
      <c r="F45" s="131"/>
      <c r="G45" s="131"/>
      <c r="H45" s="131"/>
    </row>
    <row r="46" spans="1:8" ht="12.75">
      <c r="A46" s="131"/>
      <c r="B46" s="131"/>
      <c r="C46" s="131"/>
      <c r="D46" s="131"/>
      <c r="E46" s="131"/>
      <c r="F46" s="131"/>
      <c r="G46" s="131"/>
      <c r="H46" s="131"/>
    </row>
    <row r="47" spans="1:8" ht="12.75">
      <c r="A47" s="131"/>
      <c r="B47" s="131"/>
      <c r="C47" s="131"/>
      <c r="D47" s="131"/>
      <c r="E47" s="131"/>
      <c r="F47" s="131"/>
      <c r="G47" s="131"/>
      <c r="H47" s="131"/>
    </row>
    <row r="48" spans="1:8" ht="12.75">
      <c r="A48" s="131"/>
      <c r="B48" s="131"/>
      <c r="C48" s="131"/>
      <c r="D48" s="131"/>
      <c r="E48" s="131"/>
      <c r="F48" s="131"/>
      <c r="G48" s="131"/>
      <c r="H48" s="131"/>
    </row>
    <row r="49" spans="1:8" ht="12.75">
      <c r="A49" s="131"/>
      <c r="B49" s="131"/>
      <c r="C49" s="131"/>
      <c r="D49" s="131"/>
      <c r="E49" s="131"/>
      <c r="F49" s="131"/>
      <c r="G49" s="131"/>
      <c r="H49" s="131"/>
    </row>
    <row r="50" spans="1:8" ht="12.75">
      <c r="A50" s="131"/>
      <c r="B50" s="131"/>
      <c r="C50" s="131"/>
      <c r="D50" s="131"/>
      <c r="E50" s="131"/>
      <c r="F50" s="131"/>
      <c r="G50" s="131"/>
      <c r="H50" s="131"/>
    </row>
    <row r="51" spans="1:8" ht="12.75">
      <c r="A51" s="131"/>
      <c r="B51" s="131"/>
      <c r="C51" s="131"/>
      <c r="D51" s="131"/>
      <c r="E51" s="131"/>
      <c r="F51" s="131"/>
      <c r="G51" s="131"/>
      <c r="H51" s="131"/>
    </row>
    <row r="52" spans="1:8" ht="12.75">
      <c r="A52" s="131"/>
      <c r="B52" s="131"/>
      <c r="C52" s="131"/>
      <c r="D52" s="131"/>
      <c r="E52" s="131"/>
      <c r="F52" s="131"/>
      <c r="G52" s="131"/>
      <c r="H52" s="131"/>
    </row>
    <row r="53" spans="1:8" ht="12.75">
      <c r="A53" s="131"/>
      <c r="B53" s="131"/>
      <c r="C53" s="131"/>
      <c r="D53" s="131"/>
      <c r="E53" s="131"/>
      <c r="F53" s="131"/>
      <c r="G53" s="131"/>
      <c r="H53" s="131"/>
    </row>
    <row r="54" spans="1:8" ht="12.75">
      <c r="A54" s="131"/>
      <c r="B54" s="131"/>
      <c r="C54" s="131"/>
      <c r="D54" s="131"/>
      <c r="E54" s="131"/>
      <c r="F54" s="131"/>
      <c r="G54" s="131"/>
      <c r="H54" s="131"/>
    </row>
    <row r="55" spans="1:8" ht="12.75">
      <c r="A55" s="131"/>
      <c r="B55" s="131"/>
      <c r="C55" s="131"/>
      <c r="D55" s="131"/>
      <c r="E55" s="131"/>
      <c r="F55" s="131"/>
      <c r="G55" s="131"/>
      <c r="H55" s="131"/>
    </row>
    <row r="56" spans="1:8" ht="12.75">
      <c r="A56" s="131"/>
      <c r="B56" s="131"/>
      <c r="C56" s="131"/>
      <c r="D56" s="131"/>
      <c r="E56" s="131"/>
      <c r="F56" s="131"/>
      <c r="G56" s="131"/>
      <c r="H56" s="131"/>
    </row>
    <row r="57" spans="1:8" ht="12.75">
      <c r="A57" s="131"/>
      <c r="B57" s="131"/>
      <c r="C57" s="131"/>
      <c r="D57" s="131"/>
      <c r="E57" s="131"/>
      <c r="F57" s="131"/>
      <c r="G57" s="131"/>
      <c r="H57" s="131"/>
    </row>
    <row r="58" spans="1:8" ht="12.75">
      <c r="A58" s="131"/>
      <c r="B58" s="131"/>
      <c r="C58" s="131"/>
      <c r="D58" s="131"/>
      <c r="E58" s="131"/>
      <c r="F58" s="131"/>
      <c r="G58" s="131"/>
      <c r="H58" s="131"/>
    </row>
    <row r="59" spans="1:8" ht="12.75">
      <c r="A59" s="131"/>
      <c r="B59" s="131"/>
      <c r="C59" s="131"/>
      <c r="D59" s="131"/>
      <c r="E59" s="131"/>
      <c r="F59" s="131"/>
      <c r="G59" s="131"/>
      <c r="H59" s="131"/>
    </row>
    <row r="60" spans="1:8" ht="12.75">
      <c r="A60" s="131"/>
      <c r="B60" s="131"/>
      <c r="C60" s="131"/>
      <c r="D60" s="131"/>
      <c r="E60" s="131"/>
      <c r="F60" s="131"/>
      <c r="G60" s="131"/>
      <c r="H60" s="131"/>
    </row>
    <row r="61" spans="1:8" ht="12.75">
      <c r="A61" s="131"/>
      <c r="B61" s="131"/>
      <c r="C61" s="131"/>
      <c r="D61" s="131"/>
      <c r="E61" s="131"/>
      <c r="F61" s="131"/>
      <c r="G61" s="131"/>
      <c r="H61" s="131"/>
    </row>
    <row r="62" spans="1:8" ht="12.75">
      <c r="A62" s="131"/>
      <c r="B62" s="131"/>
      <c r="C62" s="131"/>
      <c r="D62" s="131"/>
      <c r="E62" s="131"/>
      <c r="F62" s="131"/>
      <c r="G62" s="131"/>
      <c r="H62" s="131"/>
    </row>
    <row r="63" spans="1:8" ht="12.75">
      <c r="A63" s="131"/>
      <c r="B63" s="131"/>
      <c r="C63" s="131"/>
      <c r="D63" s="131"/>
      <c r="E63" s="131"/>
      <c r="F63" s="131"/>
      <c r="G63" s="131"/>
      <c r="H63" s="131"/>
    </row>
    <row r="64" spans="1:8" ht="12.75">
      <c r="A64" s="131"/>
      <c r="B64" s="131"/>
      <c r="C64" s="131"/>
      <c r="D64" s="131"/>
      <c r="E64" s="131"/>
      <c r="F64" s="131"/>
      <c r="G64" s="131"/>
      <c r="H64" s="131"/>
    </row>
    <row r="65" spans="1:8" ht="12.75">
      <c r="A65" s="131"/>
      <c r="B65" s="131"/>
      <c r="C65" s="131"/>
      <c r="D65" s="131"/>
      <c r="E65" s="131"/>
      <c r="F65" s="131"/>
      <c r="G65" s="131"/>
      <c r="H65" s="131"/>
    </row>
    <row r="66" spans="1:8" ht="12.75">
      <c r="A66" s="131"/>
      <c r="B66" s="131"/>
      <c r="C66" s="131"/>
      <c r="D66" s="131"/>
      <c r="E66" s="131"/>
      <c r="F66" s="131"/>
      <c r="G66" s="131"/>
      <c r="H66" s="131"/>
    </row>
    <row r="67" spans="1:8" ht="12.75">
      <c r="A67" s="131"/>
      <c r="B67" s="131"/>
      <c r="C67" s="131"/>
      <c r="D67" s="131"/>
      <c r="E67" s="131"/>
      <c r="F67" s="131"/>
      <c r="G67" s="131"/>
      <c r="H67" s="131"/>
    </row>
    <row r="68" spans="1:8" ht="12.75">
      <c r="A68" s="131"/>
      <c r="B68" s="131"/>
      <c r="C68" s="131"/>
      <c r="D68" s="131"/>
      <c r="E68" s="131"/>
      <c r="F68" s="131"/>
      <c r="G68" s="131"/>
      <c r="H68" s="131"/>
    </row>
    <row r="69" spans="1:8" ht="12.75">
      <c r="A69" s="131"/>
      <c r="B69" s="131"/>
      <c r="C69" s="131"/>
      <c r="D69" s="131"/>
      <c r="E69" s="131"/>
      <c r="F69" s="131"/>
      <c r="G69" s="131"/>
      <c r="H69" s="131"/>
    </row>
    <row r="70" spans="1:8" ht="12.75">
      <c r="A70" s="131"/>
      <c r="B70" s="131"/>
      <c r="C70" s="131"/>
      <c r="D70" s="131"/>
      <c r="E70" s="131"/>
      <c r="F70" s="131"/>
      <c r="G70" s="131"/>
      <c r="H70" s="13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5" sqref="B5"/>
    </sheetView>
  </sheetViews>
  <sheetFormatPr defaultColWidth="9.140625" defaultRowHeight="12.75"/>
  <cols>
    <col min="1" max="1" width="22.7109375" style="210" customWidth="1"/>
    <col min="2" max="2" width="11.421875" style="211" customWidth="1"/>
    <col min="3" max="3" width="13.00390625" style="211" customWidth="1"/>
    <col min="4" max="4" width="16.140625" style="211" customWidth="1"/>
    <col min="5" max="5" width="6.7109375" style="212" customWidth="1"/>
    <col min="6" max="16384" width="9.140625" style="212" customWidth="1"/>
  </cols>
  <sheetData>
    <row r="1" ht="19.5" customHeight="1">
      <c r="A1" s="213" t="s">
        <v>163</v>
      </c>
    </row>
    <row r="2" spans="1:4" ht="19.5" customHeight="1">
      <c r="A2" s="213"/>
      <c r="B2" s="224" t="s">
        <v>166</v>
      </c>
      <c r="C2" s="224" t="s">
        <v>167</v>
      </c>
      <c r="D2" s="224" t="s">
        <v>168</v>
      </c>
    </row>
    <row r="3" spans="1:4" ht="19.5" customHeight="1">
      <c r="A3" s="213" t="s">
        <v>164</v>
      </c>
      <c r="B3" s="226">
        <v>1489.5</v>
      </c>
      <c r="C3" s="226">
        <v>87</v>
      </c>
      <c r="D3" s="226">
        <f>B3*C3</f>
        <v>129586.5</v>
      </c>
    </row>
    <row r="4" spans="1:4" ht="19.5" customHeight="1">
      <c r="A4" s="213" t="s">
        <v>165</v>
      </c>
      <c r="B4" s="225">
        <v>170</v>
      </c>
      <c r="C4" s="227">
        <v>80.5</v>
      </c>
      <c r="D4" s="226">
        <f>B4*C4</f>
        <v>13685</v>
      </c>
    </row>
    <row r="5" spans="1:4" ht="19.5" customHeight="1">
      <c r="A5" s="213" t="s">
        <v>184</v>
      </c>
      <c r="B5" s="225">
        <v>20</v>
      </c>
      <c r="C5" s="227">
        <v>118.1</v>
      </c>
      <c r="D5" s="226">
        <f>B5*C5</f>
        <v>2362</v>
      </c>
    </row>
    <row r="6" spans="1:4" ht="19.5" customHeight="1">
      <c r="A6" s="213" t="s">
        <v>187</v>
      </c>
      <c r="B6" s="225">
        <v>300</v>
      </c>
      <c r="C6" s="227">
        <v>95</v>
      </c>
      <c r="D6" s="226">
        <f>B6*C6</f>
        <v>28500</v>
      </c>
    </row>
    <row r="7" spans="1:4" ht="19.5" customHeight="1">
      <c r="A7" s="213" t="s">
        <v>185</v>
      </c>
      <c r="B7" s="225">
        <v>20</v>
      </c>
      <c r="C7" s="227">
        <v>142.8</v>
      </c>
      <c r="D7" s="226">
        <f>B7*C7</f>
        <v>2856</v>
      </c>
    </row>
    <row r="8" spans="1:4" ht="19.5" customHeight="1">
      <c r="A8" s="213" t="s">
        <v>189</v>
      </c>
      <c r="B8" s="226">
        <f>SUM(B3:B7)</f>
        <v>1999.5</v>
      </c>
      <c r="C8" s="226">
        <f>D8/B8</f>
        <v>88.51687921980495</v>
      </c>
      <c r="D8" s="226">
        <f>SUM(D3:D7)</f>
        <v>176989.5</v>
      </c>
    </row>
    <row r="9" ht="12.75">
      <c r="A9" s="213"/>
    </row>
    <row r="10" spans="1:3" ht="12.75">
      <c r="A10" s="213"/>
      <c r="B10" s="224" t="s">
        <v>170</v>
      </c>
      <c r="C10" s="224" t="s">
        <v>171</v>
      </c>
    </row>
    <row r="11" spans="1:3" ht="12.75">
      <c r="A11" s="213" t="s">
        <v>169</v>
      </c>
      <c r="B11" s="225">
        <v>50</v>
      </c>
      <c r="C11" s="226">
        <f>IF(AND(B11&gt;0,B11&lt;=50),B11*6,"")</f>
        <v>300</v>
      </c>
    </row>
    <row r="12" ht="12.75"/>
    <row r="13" ht="12.75"/>
    <row r="14" ht="12.75"/>
    <row r="15" ht="12.75"/>
    <row r="16" ht="12.75"/>
    <row r="17" ht="12.75">
      <c r="F17" s="212" t="s">
        <v>173</v>
      </c>
    </row>
    <row r="18" spans="1:6" ht="14.25">
      <c r="A18" s="234" t="s">
        <v>186</v>
      </c>
      <c r="F18" s="212" t="s">
        <v>174</v>
      </c>
    </row>
    <row r="19" ht="14.25">
      <c r="A19" s="234" t="s">
        <v>188</v>
      </c>
    </row>
    <row r="20" ht="14.25">
      <c r="A20" s="234" t="s">
        <v>190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27" sqref="C27"/>
    </sheetView>
  </sheetViews>
  <sheetFormatPr defaultColWidth="9.140625" defaultRowHeight="12.75"/>
  <cols>
    <col min="1" max="1" width="14.140625" style="216" customWidth="1"/>
    <col min="2" max="2" width="11.57421875" style="218" customWidth="1"/>
  </cols>
  <sheetData>
    <row r="1" ht="12.75">
      <c r="A1" s="216" t="s">
        <v>175</v>
      </c>
    </row>
    <row r="3" spans="1:2" ht="12.75">
      <c r="A3" s="220" t="s">
        <v>166</v>
      </c>
      <c r="B3" s="219" t="s">
        <v>176</v>
      </c>
    </row>
    <row r="4" spans="1:2" ht="12.75">
      <c r="A4" s="220">
        <v>2325</v>
      </c>
      <c r="B4" s="219">
        <v>111</v>
      </c>
    </row>
    <row r="5" spans="1:2" ht="12.75">
      <c r="A5" s="220">
        <v>1531</v>
      </c>
      <c r="B5" s="219">
        <v>88</v>
      </c>
    </row>
    <row r="7" ht="12.75">
      <c r="A7" s="216" t="s">
        <v>183</v>
      </c>
    </row>
    <row r="8" spans="1:2" ht="12.75">
      <c r="A8" s="231">
        <f>'W&amp;B'!B8</f>
        <v>1999.5</v>
      </c>
      <c r="B8" s="221">
        <f>B12*A8+B13</f>
        <v>101.57115869017633</v>
      </c>
    </row>
    <row r="11" ht="12.75">
      <c r="A11" t="s">
        <v>177</v>
      </c>
    </row>
    <row r="12" spans="1:2" ht="12.75">
      <c r="A12" t="s">
        <v>195</v>
      </c>
      <c r="B12" s="236">
        <f>(B4-B5)/(A4-A5)</f>
        <v>0.028967254408060455</v>
      </c>
    </row>
    <row r="13" spans="1:2" ht="12.75">
      <c r="A13" t="s">
        <v>193</v>
      </c>
      <c r="B13" s="236">
        <f>B5-(B12*A5)</f>
        <v>43.651133501259444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2">
      <selection activeCell="B36" sqref="B36"/>
    </sheetView>
  </sheetViews>
  <sheetFormatPr defaultColWidth="9.140625" defaultRowHeight="12.75"/>
  <cols>
    <col min="1" max="1" width="14.140625" style="216" customWidth="1"/>
    <col min="2" max="2" width="11.57421875" style="218" customWidth="1"/>
  </cols>
  <sheetData>
    <row r="1" ht="12.75">
      <c r="A1" s="216" t="s">
        <v>196</v>
      </c>
    </row>
    <row r="3" spans="1:2" ht="12.75">
      <c r="A3" s="220" t="s">
        <v>166</v>
      </c>
      <c r="B3" s="219" t="s">
        <v>191</v>
      </c>
    </row>
    <row r="4" spans="1:2" ht="12.75">
      <c r="A4" s="220">
        <v>2325</v>
      </c>
      <c r="B4" s="219">
        <v>44</v>
      </c>
    </row>
    <row r="5" spans="1:2" ht="12.75">
      <c r="A5" s="220">
        <v>1600</v>
      </c>
      <c r="B5" s="219">
        <v>37</v>
      </c>
    </row>
    <row r="7" ht="12.75">
      <c r="A7" s="216" t="s">
        <v>183</v>
      </c>
    </row>
    <row r="8" spans="1:2" ht="12.75">
      <c r="A8" s="231">
        <f>'W&amp;B'!B8</f>
        <v>1999.5</v>
      </c>
      <c r="B8" s="221">
        <f>B12*A8+B13</f>
        <v>40.857241379310345</v>
      </c>
    </row>
    <row r="11" ht="12.75">
      <c r="A11" t="s">
        <v>177</v>
      </c>
    </row>
    <row r="12" spans="1:2" ht="12.75">
      <c r="A12" t="s">
        <v>192</v>
      </c>
      <c r="B12" s="236">
        <f>(B4-B5)/(A4-A5)</f>
        <v>0.009655172413793104</v>
      </c>
    </row>
    <row r="13" spans="1:2" ht="12.75">
      <c r="A13" t="s">
        <v>193</v>
      </c>
      <c r="B13" s="236">
        <f>B5-(B12*A5)</f>
        <v>21.551724137931032</v>
      </c>
    </row>
    <row r="25" ht="12.75">
      <c r="A25" s="216" t="s">
        <v>197</v>
      </c>
    </row>
    <row r="27" spans="1:2" ht="12.75">
      <c r="A27" s="220" t="s">
        <v>166</v>
      </c>
      <c r="B27" s="219" t="s">
        <v>198</v>
      </c>
    </row>
    <row r="28" spans="1:2" ht="12.75">
      <c r="A28" s="220">
        <v>2325</v>
      </c>
      <c r="B28" s="219">
        <v>50</v>
      </c>
    </row>
    <row r="29" spans="1:2" ht="12.75">
      <c r="A29" s="220">
        <v>1600</v>
      </c>
      <c r="B29" s="219">
        <v>42</v>
      </c>
    </row>
    <row r="31" ht="12.75">
      <c r="A31" s="216" t="s">
        <v>183</v>
      </c>
    </row>
    <row r="32" spans="1:2" ht="12.75">
      <c r="A32" s="231">
        <f>'W&amp;B'!B8</f>
        <v>1999.5</v>
      </c>
      <c r="B32" s="221">
        <f>B36*A32+B37</f>
        <v>46.40827586206896</v>
      </c>
    </row>
    <row r="35" ht="12.75">
      <c r="A35" t="s">
        <v>177</v>
      </c>
    </row>
    <row r="36" spans="1:2" ht="12.75">
      <c r="A36" t="s">
        <v>192</v>
      </c>
      <c r="B36" s="236">
        <f>(B28-B29)/(A28-A29)</f>
        <v>0.011034482758620689</v>
      </c>
    </row>
    <row r="37" spans="1:2" ht="12.75">
      <c r="A37" t="s">
        <v>193</v>
      </c>
      <c r="B37" s="236">
        <f>B29-(B36*A29)</f>
        <v>24.344827586206897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ZymoGenetics,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Domenick Venezia</dc:creator>
  <cp:keywords/>
  <dc:description/>
  <cp:lastModifiedBy>Domenick Venezia</cp:lastModifiedBy>
  <cp:lastPrinted>2003-02-05T18:21:03Z</cp:lastPrinted>
  <dcterms:created xsi:type="dcterms:W3CDTF">2002-08-07T01:48:07Z</dcterms:created>
  <dcterms:modified xsi:type="dcterms:W3CDTF">2003-03-12T04:52:11Z</dcterms:modified>
  <cp:category/>
  <cp:version/>
  <cp:contentType/>
  <cp:contentStatus/>
</cp:coreProperties>
</file>