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5" yWindow="75" windowWidth="6737" windowHeight="5009" activeTab="1"/>
  </bookViews>
  <sheets>
    <sheet name="Fixes v1.0" sheetId="17" r:id="rId1"/>
    <sheet name="Leg" sheetId="12" r:id="rId2"/>
    <sheet name="Climb, Eng.Perf" sheetId="2" r:id="rId3"/>
    <sheet name="W&amp;B 161" sheetId="19" r:id="rId4"/>
    <sheet name="W&amp;B 180" sheetId="18" r:id="rId5"/>
    <sheet name="Va" sheetId="4" r:id="rId6"/>
    <sheet name="Vs" sheetId="13" r:id="rId7"/>
    <sheet name="Vx|Vy" sheetId="14" r:id="rId8"/>
    <sheet name="ROC" sheetId="15" r:id="rId9"/>
    <sheet name="Standard Atmosphere" sheetId="6" r:id="rId10"/>
    <sheet name="Change Log" sheetId="7" r:id="rId11"/>
    <sheet name="Help" sheetId="8" r:id="rId12"/>
    <sheet name="Sheet9" sheetId="9" r:id="rId13"/>
    <sheet name="Sheet10" sheetId="10" r:id="rId14"/>
  </sheets>
  <definedNames>
    <definedName name="_xlnm.Print_Area" localSheetId="1">Leg!$A$1:$X$28</definedName>
  </definedNames>
  <calcPr calcId="125725" refMode="R1C1"/>
</workbook>
</file>

<file path=xl/calcChain.xml><?xml version="1.0" encoding="utf-8"?>
<calcChain xmlns="http://schemas.openxmlformats.org/spreadsheetml/2006/main">
  <c r="E5" i="12"/>
  <c r="A36" i="13"/>
  <c r="A8" i="4"/>
  <c r="D17" i="19"/>
  <c r="B12" s="1"/>
  <c r="D12" s="1"/>
  <c r="A11" i="12"/>
  <c r="A13" s="1"/>
  <c r="A15" s="1"/>
  <c r="A17" s="1"/>
  <c r="A19" s="1"/>
  <c r="A21" s="1"/>
  <c r="A23" s="1"/>
  <c r="A25" s="1"/>
  <c r="A27" s="1"/>
  <c r="B23" i="15"/>
  <c r="B34" i="4"/>
  <c r="B35"/>
  <c r="B36"/>
  <c r="B37"/>
  <c r="B38"/>
  <c r="B39"/>
  <c r="B40"/>
  <c r="B41"/>
  <c r="B33"/>
  <c r="B23"/>
  <c r="B24"/>
  <c r="B25"/>
  <c r="B26"/>
  <c r="B27"/>
  <c r="B28"/>
  <c r="B29"/>
  <c r="B30"/>
  <c r="B22"/>
  <c r="D20" i="19"/>
  <c r="B8" s="1"/>
  <c r="D8" s="1"/>
  <c r="D21"/>
  <c r="B9" s="1"/>
  <c r="D9" s="1"/>
  <c r="D7"/>
  <c r="D10"/>
  <c r="B5" i="18"/>
  <c r="C13"/>
  <c r="B8" s="1"/>
  <c r="D8" s="1"/>
  <c r="C16"/>
  <c r="B4" s="1"/>
  <c r="D3"/>
  <c r="D5"/>
  <c r="D6"/>
  <c r="D7"/>
  <c r="N28" i="12"/>
  <c r="J13"/>
  <c r="O12" s="1"/>
  <c r="B31" i="14"/>
  <c r="O22" i="2"/>
  <c r="O24" s="1"/>
  <c r="C10" i="17"/>
  <c r="C19"/>
  <c r="C28" s="1"/>
  <c r="J1" s="1"/>
  <c r="J10" s="1"/>
  <c r="J19" s="1"/>
  <c r="J28" s="1"/>
  <c r="B24" i="2"/>
  <c r="G4" i="12" s="1"/>
  <c r="B20" i="2"/>
  <c r="K4" i="12"/>
  <c r="I20" i="2"/>
  <c r="I21"/>
  <c r="B22"/>
  <c r="I22"/>
  <c r="I23"/>
  <c r="I24"/>
  <c r="I25"/>
  <c r="B26"/>
  <c r="I26" s="1"/>
  <c r="I27"/>
  <c r="B28"/>
  <c r="I28"/>
  <c r="I29"/>
  <c r="B30"/>
  <c r="I30" s="1"/>
  <c r="I31"/>
  <c r="B32"/>
  <c r="I32"/>
  <c r="I33"/>
  <c r="B34"/>
  <c r="I34" s="1"/>
  <c r="I35"/>
  <c r="B36"/>
  <c r="I36"/>
  <c r="I37"/>
  <c r="B38"/>
  <c r="I38" s="1"/>
  <c r="I39"/>
  <c r="B40"/>
  <c r="I40"/>
  <c r="I41"/>
  <c r="B42"/>
  <c r="I42" s="1"/>
  <c r="I43"/>
  <c r="I19"/>
  <c r="O21"/>
  <c r="O23" s="1"/>
  <c r="O25" s="1"/>
  <c r="H42"/>
  <c r="H40"/>
  <c r="H38"/>
  <c r="H36"/>
  <c r="H34"/>
  <c r="H32"/>
  <c r="H30"/>
  <c r="H28"/>
  <c r="H26"/>
  <c r="H24"/>
  <c r="H22"/>
  <c r="H20"/>
  <c r="G42"/>
  <c r="G40"/>
  <c r="G38"/>
  <c r="G36"/>
  <c r="G34"/>
  <c r="G32"/>
  <c r="G30"/>
  <c r="G28"/>
  <c r="G26"/>
  <c r="G24"/>
  <c r="G22"/>
  <c r="G20"/>
  <c r="F42"/>
  <c r="F40"/>
  <c r="F38"/>
  <c r="F36"/>
  <c r="F34"/>
  <c r="F32"/>
  <c r="F30"/>
  <c r="F28"/>
  <c r="F26"/>
  <c r="F24"/>
  <c r="F22"/>
  <c r="F20"/>
  <c r="E42"/>
  <c r="E40"/>
  <c r="E38"/>
  <c r="E36"/>
  <c r="E34"/>
  <c r="E32"/>
  <c r="E30"/>
  <c r="E28"/>
  <c r="E26"/>
  <c r="E24"/>
  <c r="E22"/>
  <c r="E20"/>
  <c r="C42"/>
  <c r="C40"/>
  <c r="C38"/>
  <c r="C36"/>
  <c r="C34"/>
  <c r="C32"/>
  <c r="C30"/>
  <c r="C28"/>
  <c r="C26"/>
  <c r="C24"/>
  <c r="C22"/>
  <c r="C20"/>
  <c r="L24"/>
  <c r="I26" i="12"/>
  <c r="J27" s="1"/>
  <c r="O26" s="1"/>
  <c r="I24"/>
  <c r="J25" s="1"/>
  <c r="I22"/>
  <c r="J23" s="1"/>
  <c r="O22" s="1"/>
  <c r="I20"/>
  <c r="J21" s="1"/>
  <c r="I18"/>
  <c r="J19" s="1"/>
  <c r="O18" s="1"/>
  <c r="I16"/>
  <c r="J17" s="1"/>
  <c r="I14"/>
  <c r="J15" s="1"/>
  <c r="O14" s="1"/>
  <c r="N13"/>
  <c r="N15" s="1"/>
  <c r="N17" s="1"/>
  <c r="N19" s="1"/>
  <c r="N21" s="1"/>
  <c r="N23" s="1"/>
  <c r="N25" s="1"/>
  <c r="N27" s="1"/>
  <c r="B12" i="4"/>
  <c r="B13" s="1"/>
  <c r="B12" i="13"/>
  <c r="B13"/>
  <c r="B40"/>
  <c r="B41" s="1"/>
  <c r="B22" i="15"/>
  <c r="D4" i="6"/>
  <c r="C4"/>
  <c r="B4"/>
  <c r="N46" i="13"/>
  <c r="N18"/>
  <c r="N34"/>
  <c r="N35"/>
  <c r="N36"/>
  <c r="N37"/>
  <c r="N38"/>
  <c r="N39"/>
  <c r="N40"/>
  <c r="N41"/>
  <c r="N42"/>
  <c r="N43"/>
  <c r="N33"/>
  <c r="N6"/>
  <c r="N7"/>
  <c r="N8"/>
  <c r="N9"/>
  <c r="N10"/>
  <c r="N11"/>
  <c r="N12"/>
  <c r="N13"/>
  <c r="N14"/>
  <c r="N15"/>
  <c r="N5"/>
  <c r="B36" i="14"/>
  <c r="B35"/>
  <c r="B25"/>
  <c r="B30"/>
  <c r="B24"/>
  <c r="D11" i="19" l="1"/>
  <c r="B11"/>
  <c r="C3" i="12" s="1"/>
  <c r="E3" s="1"/>
  <c r="A8" i="13"/>
  <c r="B8" s="1"/>
  <c r="B8" i="4"/>
  <c r="B19" i="15"/>
  <c r="L26" i="2"/>
  <c r="O28" s="1"/>
  <c r="L28" s="1"/>
  <c r="O26"/>
  <c r="L27" s="1"/>
  <c r="P22" i="12"/>
  <c r="R22" s="1"/>
  <c r="O23"/>
  <c r="P14"/>
  <c r="R14" s="1"/>
  <c r="O15"/>
  <c r="D4" i="18"/>
  <c r="D9" s="1"/>
  <c r="C9" s="1"/>
  <c r="B9"/>
  <c r="B10" s="1"/>
  <c r="K16" i="12"/>
  <c r="L16" s="1"/>
  <c r="M16" s="1"/>
  <c r="O16"/>
  <c r="K20"/>
  <c r="L20" s="1"/>
  <c r="M20" s="1"/>
  <c r="O20"/>
  <c r="K24"/>
  <c r="L24" s="1"/>
  <c r="M24" s="1"/>
  <c r="O24"/>
  <c r="P26"/>
  <c r="R26" s="1"/>
  <c r="O27"/>
  <c r="P18"/>
  <c r="R18" s="1"/>
  <c r="O19"/>
  <c r="G5"/>
  <c r="K5" s="1"/>
  <c r="R12" s="1"/>
  <c r="R13" s="1"/>
  <c r="O13"/>
  <c r="I4"/>
  <c r="I5" s="1"/>
  <c r="B36" i="13"/>
  <c r="K12" i="12"/>
  <c r="L12" s="1"/>
  <c r="M12" s="1"/>
  <c r="K14"/>
  <c r="L14" s="1"/>
  <c r="M14" s="1"/>
  <c r="K18"/>
  <c r="L18" s="1"/>
  <c r="M18" s="1"/>
  <c r="K22"/>
  <c r="L22" s="1"/>
  <c r="M22" s="1"/>
  <c r="K26"/>
  <c r="L26" s="1"/>
  <c r="M26" s="1"/>
  <c r="B30" i="19" l="1"/>
  <c r="D13"/>
  <c r="B13"/>
  <c r="B14" s="1"/>
  <c r="C4" i="12"/>
  <c r="C11" i="19"/>
  <c r="E4" i="12"/>
  <c r="E6"/>
  <c r="L32" i="2"/>
  <c r="L30"/>
  <c r="L37"/>
  <c r="L36"/>
  <c r="L33"/>
  <c r="L31"/>
  <c r="L35"/>
  <c r="R15" i="12"/>
  <c r="P24"/>
  <c r="R24" s="1"/>
  <c r="O25"/>
  <c r="P20"/>
  <c r="R20" s="1"/>
  <c r="O21"/>
  <c r="P16"/>
  <c r="R16" s="1"/>
  <c r="O17"/>
  <c r="P12"/>
  <c r="P28" l="1"/>
  <c r="C13" i="19"/>
  <c r="R17" i="12"/>
  <c r="R19" s="1"/>
  <c r="R21" s="1"/>
  <c r="R23" s="1"/>
  <c r="R25" s="1"/>
  <c r="R27" s="1"/>
</calcChain>
</file>

<file path=xl/sharedStrings.xml><?xml version="1.0" encoding="utf-8"?>
<sst xmlns="http://schemas.openxmlformats.org/spreadsheetml/2006/main" count="566" uniqueCount="386">
  <si>
    <t>VOR</t>
  </si>
  <si>
    <t>Ident</t>
  </si>
  <si>
    <t>Freq.</t>
  </si>
  <si>
    <t>Altitude</t>
  </si>
  <si>
    <t>Dir.</t>
  </si>
  <si>
    <t>Vel.</t>
  </si>
  <si>
    <t>CAS</t>
  </si>
  <si>
    <t>TAS</t>
  </si>
  <si>
    <t>CH</t>
  </si>
  <si>
    <t>Dist.</t>
  </si>
  <si>
    <t>GS</t>
  </si>
  <si>
    <t>Est.</t>
  </si>
  <si>
    <t>Act.</t>
  </si>
  <si>
    <t>Leg</t>
  </si>
  <si>
    <t>ETE</t>
  </si>
  <si>
    <t>ATE</t>
  </si>
  <si>
    <t>ETA</t>
  </si>
  <si>
    <t>ATA</t>
  </si>
  <si>
    <t>GPH</t>
  </si>
  <si>
    <t>Fuel</t>
  </si>
  <si>
    <t>Airport &amp; ATIS Advisories</t>
  </si>
  <si>
    <t>ATIS</t>
  </si>
  <si>
    <t>Grnd</t>
  </si>
  <si>
    <t>Tower</t>
  </si>
  <si>
    <t>CTAF</t>
  </si>
  <si>
    <t>FSS</t>
  </si>
  <si>
    <t>Unicm</t>
  </si>
  <si>
    <t xml:space="preserve">    Altimeter</t>
  </si>
  <si>
    <t xml:space="preserve">       Wind</t>
  </si>
  <si>
    <t xml:space="preserve">   Ceiling/Vis</t>
  </si>
  <si>
    <t xml:space="preserve">   ATIS Code</t>
  </si>
  <si>
    <t xml:space="preserve">   Departure</t>
  </si>
  <si>
    <t xml:space="preserve">  Destination</t>
  </si>
  <si>
    <t xml:space="preserve">      Airport Frequencies</t>
  </si>
  <si>
    <t xml:space="preserve">     Wind</t>
  </si>
  <si>
    <t xml:space="preserve">     Temp</t>
  </si>
  <si>
    <t xml:space="preserve"> Time Off</t>
  </si>
  <si>
    <t>Rem</t>
  </si>
  <si>
    <t>Dep</t>
  </si>
  <si>
    <t xml:space="preserve"> Weight</t>
  </si>
  <si>
    <t xml:space="preserve"> Total Fuel</t>
  </si>
  <si>
    <r>
      <t xml:space="preserve"> V</t>
    </r>
    <r>
      <rPr>
        <b/>
        <vertAlign val="subscript"/>
        <sz val="10"/>
        <rFont val="Arial"/>
        <family val="2"/>
      </rPr>
      <t>x</t>
    </r>
  </si>
  <si>
    <r>
      <t xml:space="preserve"> V</t>
    </r>
    <r>
      <rPr>
        <b/>
        <vertAlign val="subscript"/>
        <sz val="10"/>
        <rFont val="Arial"/>
        <family val="2"/>
      </rPr>
      <t>Y</t>
    </r>
  </si>
  <si>
    <t xml:space="preserve"> CG Pos.</t>
  </si>
  <si>
    <t>TIME, FUEL, AND DISTANCE TO CLIMB</t>
  </si>
  <si>
    <t>MAXIMUM RATE OF CLIMB</t>
  </si>
  <si>
    <t>CONDITIONS:</t>
  </si>
  <si>
    <t>NOTES:</t>
  </si>
  <si>
    <t>1. Flaps up</t>
  </si>
  <si>
    <t>2. Full Throttle</t>
  </si>
  <si>
    <t>3. Standard Temperature</t>
  </si>
  <si>
    <t>1. Add 0.8 gallons of fuel for start, taxi, and takeoff</t>
  </si>
  <si>
    <t>2. Mixture leaned above 3000 feet for maximum RPM</t>
  </si>
  <si>
    <t>3. Increase time, fuel, and distance by 10% for each 10 degrees above standard temperature</t>
  </si>
  <si>
    <t>4. Distances are based on zero wind</t>
  </si>
  <si>
    <t>Weight</t>
  </si>
  <si>
    <t>(pounds)</t>
  </si>
  <si>
    <t>Pressure</t>
  </si>
  <si>
    <t>(feet)</t>
  </si>
  <si>
    <t>Temp</t>
  </si>
  <si>
    <t>( C )</t>
  </si>
  <si>
    <t>Climb</t>
  </si>
  <si>
    <t>Speed</t>
  </si>
  <si>
    <t>(KIAS)</t>
  </si>
  <si>
    <t>Rate of</t>
  </si>
  <si>
    <t>(FPM)</t>
  </si>
  <si>
    <t>Time</t>
  </si>
  <si>
    <t>(Min)</t>
  </si>
  <si>
    <t>Fuel Used</t>
  </si>
  <si>
    <t>(Gallons)</t>
  </si>
  <si>
    <t>Distance</t>
  </si>
  <si>
    <t>(NM)</t>
  </si>
  <si>
    <t xml:space="preserve">           From Sea Level</t>
  </si>
  <si>
    <t xml:space="preserve">    Elevation</t>
  </si>
  <si>
    <t xml:space="preserve">         TPA</t>
  </si>
  <si>
    <t>Naut.Miles</t>
  </si>
  <si>
    <t>Transpondr</t>
  </si>
  <si>
    <t>Basic Empty Weight</t>
  </si>
  <si>
    <t>Pilot and Front Passenger</t>
  </si>
  <si>
    <t>Weight (lbs)</t>
  </si>
  <si>
    <t>Arm (inches)</t>
  </si>
  <si>
    <t>Moment (inch-lbs)</t>
  </si>
  <si>
    <t>Fuel weight (100LL)</t>
  </si>
  <si>
    <t>Gallons</t>
  </si>
  <si>
    <t>Pounds</t>
  </si>
  <si>
    <t>Altimeter setting (in Hg)</t>
  </si>
  <si>
    <t>Pm</t>
  </si>
  <si>
    <t>Altitude (feet)</t>
  </si>
  <si>
    <t>Em</t>
  </si>
  <si>
    <t>A</t>
  </si>
  <si>
    <t>Station pressure</t>
  </si>
  <si>
    <t>B</t>
  </si>
  <si>
    <t>Pressure Altitude</t>
  </si>
  <si>
    <t>C</t>
  </si>
  <si>
    <t>D</t>
  </si>
  <si>
    <t>Temperature F</t>
  </si>
  <si>
    <t>X</t>
  </si>
  <si>
    <t>Density Altitude</t>
  </si>
  <si>
    <t>Fuel to Climb (gals)</t>
  </si>
  <si>
    <t>Time to Climb (mins)</t>
  </si>
  <si>
    <t>Distance to Climb (nm)</t>
  </si>
  <si>
    <t>Above dotted line is NORMAL category</t>
  </si>
  <si>
    <t>Below dotted line is UTILITY category</t>
  </si>
  <si>
    <t>PA-28-161    Manuvering Speed</t>
  </si>
  <si>
    <t>Va (KIAS)</t>
  </si>
  <si>
    <t>mx + b = y</t>
  </si>
  <si>
    <t>Overall Route:</t>
  </si>
  <si>
    <r>
      <t xml:space="preserve"> V</t>
    </r>
    <r>
      <rPr>
        <vertAlign val="subscript"/>
        <sz val="10"/>
        <rFont val="Arial"/>
        <family val="2"/>
      </rPr>
      <t>A</t>
    </r>
  </si>
  <si>
    <t>Gross Weight</t>
  </si>
  <si>
    <r>
      <t>Rear Passengers</t>
    </r>
    <r>
      <rPr>
        <b/>
        <vertAlign val="superscript"/>
        <sz val="10"/>
        <rFont val="Arial"/>
        <family val="2"/>
      </rPr>
      <t>1</t>
    </r>
  </si>
  <si>
    <r>
      <t>Baggage</t>
    </r>
    <r>
      <rPr>
        <b/>
        <vertAlign val="superscript"/>
        <sz val="10"/>
        <rFont val="Arial"/>
        <family val="2"/>
      </rPr>
      <t>1</t>
    </r>
    <r>
      <rPr>
        <b/>
        <sz val="10"/>
        <rFont val="Arial"/>
        <family val="2"/>
      </rPr>
      <t xml:space="preserve"> (200 lbs max)</t>
    </r>
  </si>
  <si>
    <r>
      <t>1</t>
    </r>
    <r>
      <rPr>
        <b/>
        <sz val="10"/>
        <rFont val="Arial"/>
        <family val="2"/>
      </rPr>
      <t xml:space="preserve"> Utility Category Operations - NO baggage or aft passengers allowed</t>
    </r>
  </si>
  <si>
    <r>
      <t>Fuel (50 gal max)</t>
    </r>
    <r>
      <rPr>
        <b/>
        <vertAlign val="superscript"/>
        <sz val="10"/>
        <rFont val="Arial"/>
        <family val="2"/>
      </rPr>
      <t>2</t>
    </r>
  </si>
  <si>
    <r>
      <t>2</t>
    </r>
    <r>
      <rPr>
        <b/>
        <sz val="10"/>
        <rFont val="Arial"/>
        <family val="2"/>
      </rPr>
      <t xml:space="preserve"> 48 Gallons usable</t>
    </r>
  </si>
  <si>
    <r>
      <t>Total Loaded</t>
    </r>
    <r>
      <rPr>
        <b/>
        <vertAlign val="superscript"/>
        <sz val="10"/>
        <rFont val="Arial"/>
        <family val="2"/>
      </rPr>
      <t>3</t>
    </r>
  </si>
  <si>
    <t>Vs0 (KIAS)</t>
  </si>
  <si>
    <t>m</t>
  </si>
  <si>
    <t>b</t>
  </si>
  <si>
    <r>
      <t xml:space="preserve">  V</t>
    </r>
    <r>
      <rPr>
        <b/>
        <vertAlign val="subscript"/>
        <sz val="9"/>
        <rFont val="Arial"/>
        <family val="2"/>
      </rPr>
      <t>S0</t>
    </r>
  </si>
  <si>
    <t xml:space="preserve">m </t>
  </si>
  <si>
    <t>PA-28-161    Indicated Stall Speed, Full Flaps (40º)</t>
  </si>
  <si>
    <t>PA-28-161    Indicated Stall Speed, No Flaps (0º)</t>
  </si>
  <si>
    <t>Vs1 (KIAS)</t>
  </si>
  <si>
    <r>
      <t xml:space="preserve">  V</t>
    </r>
    <r>
      <rPr>
        <b/>
        <vertAlign val="subscript"/>
        <sz val="9"/>
        <rFont val="Arial"/>
        <family val="2"/>
      </rPr>
      <t>S1</t>
    </r>
  </si>
  <si>
    <r>
      <t xml:space="preserve"> V</t>
    </r>
    <r>
      <rPr>
        <b/>
        <vertAlign val="subscript"/>
        <sz val="10"/>
        <rFont val="Arial"/>
        <family val="2"/>
      </rPr>
      <t>R</t>
    </r>
  </si>
  <si>
    <t>Taxi/Runup</t>
  </si>
  <si>
    <t>Temp C</t>
  </si>
  <si>
    <t xml:space="preserve">     Runways</t>
  </si>
  <si>
    <t xml:space="preserve">     Rwy Dim</t>
  </si>
  <si>
    <t>Unused gallons</t>
  </si>
  <si>
    <t>Temperature C</t>
  </si>
  <si>
    <t>%MGW</t>
  </si>
  <si>
    <r>
      <t>3</t>
    </r>
    <r>
      <rPr>
        <b/>
        <sz val="10"/>
        <rFont val="Arial"/>
        <family val="2"/>
      </rPr>
      <t xml:space="preserve"> Maximum gross weight (lbs) is:</t>
    </r>
  </si>
  <si>
    <t>% Max Gross Weight</t>
  </si>
  <si>
    <t>Hobbs:</t>
  </si>
  <si>
    <t>Date:</t>
  </si>
  <si>
    <t>Rate of Climb</t>
  </si>
  <si>
    <t>55% Power RPM</t>
  </si>
  <si>
    <t>65% Power RPM</t>
  </si>
  <si>
    <t>75% Power RPM</t>
  </si>
  <si>
    <t>Rule of thumb formula : Vs = (Vs0 at max gross) * ((actual weight)/(max gross weight)^(1/2))</t>
  </si>
  <si>
    <t>Full Flaps (40º)</t>
  </si>
  <si>
    <t>No Flaps (0º)</t>
  </si>
  <si>
    <t xml:space="preserve">      Traffic</t>
  </si>
  <si>
    <t>PIPER WARRIOR II, PA-28-161</t>
  </si>
  <si>
    <t>Sea Level</t>
  </si>
  <si>
    <t>Vx</t>
  </si>
  <si>
    <t>Vy</t>
  </si>
  <si>
    <t>Abs. Ceiling</t>
  </si>
  <si>
    <t>KIAS</t>
  </si>
  <si>
    <t>Vx @ Altitude</t>
  </si>
  <si>
    <t>Vy @ Altitude</t>
  </si>
  <si>
    <t>my + b = x</t>
  </si>
  <si>
    <t>Calculated cells</t>
  </si>
  <si>
    <t>Parameter cells</t>
  </si>
  <si>
    <t>User value</t>
  </si>
  <si>
    <t>Sheet must be customized with parameters for your specific plane.</t>
  </si>
  <si>
    <r>
      <t xml:space="preserve">Enter the Absolute Service Ceiling in </t>
    </r>
    <r>
      <rPr>
        <b/>
        <sz val="10"/>
        <rFont val="Arial"/>
        <family val="2"/>
      </rPr>
      <t>Abs. Ceiling</t>
    </r>
    <r>
      <rPr>
        <sz val="10"/>
        <rFont val="Arial"/>
        <family val="2"/>
      </rPr>
      <t xml:space="preserve"> cell</t>
    </r>
  </si>
  <si>
    <t>Enter Absolute Ceiling values of Vx and Vy</t>
  </si>
  <si>
    <t>Enter Sea Level values of Vx and Vy</t>
  </si>
  <si>
    <r>
      <t xml:space="preserve">Enter </t>
    </r>
    <r>
      <rPr>
        <b/>
        <sz val="10"/>
        <rFont val="Arial"/>
        <family val="2"/>
      </rPr>
      <t xml:space="preserve">Density Altitude - </t>
    </r>
    <r>
      <rPr>
        <sz val="10"/>
        <rFont val="Arial"/>
        <family val="2"/>
      </rPr>
      <t>Vx and Vy will be calculated</t>
    </r>
  </si>
  <si>
    <t>Vx|Vy at Altitude</t>
  </si>
  <si>
    <t>ROC (fpm)</t>
  </si>
  <si>
    <t>PA-28-161    Rate of Climb</t>
  </si>
  <si>
    <t>Parameters do not need to include "zero" values - use what you have.</t>
  </si>
  <si>
    <t>1976 Standard Atmosphere Table</t>
  </si>
  <si>
    <t>Altitude (ft)</t>
  </si>
  <si>
    <t>Pressure "Hg</t>
  </si>
  <si>
    <t>Temp F</t>
  </si>
  <si>
    <t>(KTAS)</t>
  </si>
  <si>
    <t>Visual 3</t>
  </si>
  <si>
    <t>Visual 1</t>
  </si>
  <si>
    <t>Visual 2</t>
  </si>
  <si>
    <t xml:space="preserve"> Aircraft </t>
  </si>
  <si>
    <t>Check Points</t>
  </si>
  <si>
    <t>(Fixes)</t>
  </si>
  <si>
    <t>Minutes</t>
  </si>
  <si>
    <t>Fuel (gal)</t>
  </si>
  <si>
    <t>ATC Freq.</t>
  </si>
  <si>
    <t>Fix Num/Name</t>
  </si>
  <si>
    <t>V</t>
  </si>
  <si>
    <t>O</t>
  </si>
  <si>
    <t>R</t>
  </si>
  <si>
    <t>Lat, Long</t>
  </si>
  <si>
    <t>name</t>
  </si>
  <si>
    <t>ID</t>
  </si>
  <si>
    <t>Freq</t>
  </si>
  <si>
    <t>Radial</t>
  </si>
  <si>
    <t>Dist</t>
  </si>
  <si>
    <t>Sea Level Values</t>
  </si>
  <si>
    <t>Totals:</t>
  </si>
  <si>
    <t>Leg Info</t>
  </si>
  <si>
    <t xml:space="preserve"> TO+Climb</t>
  </si>
  <si>
    <t>Cruise + Descent</t>
  </si>
  <si>
    <t>PA-28-180D (Archer)</t>
  </si>
  <si>
    <t>Oil Weight</t>
  </si>
  <si>
    <t>Quarts</t>
  </si>
  <si>
    <t>Oil (8 qt max)</t>
  </si>
  <si>
    <t>Within dotted line is UTILITY category</t>
  </si>
  <si>
    <t>Outside dotted line is NORMAL category</t>
  </si>
  <si>
    <t>Arm</t>
  </si>
  <si>
    <t>Utility</t>
  </si>
  <si>
    <t>Performance Envelope</t>
  </si>
  <si>
    <t>PA-28-161  (Warrior II)</t>
  </si>
  <si>
    <t>Left (pilot)</t>
  </si>
  <si>
    <t>Right</t>
  </si>
  <si>
    <t>Total</t>
  </si>
  <si>
    <r>
      <t>Total Loaded</t>
    </r>
    <r>
      <rPr>
        <b/>
        <vertAlign val="superscript"/>
        <sz val="10"/>
        <rFont val="Arial"/>
        <family val="2"/>
      </rPr>
      <t xml:space="preserve">3 </t>
    </r>
    <r>
      <rPr>
        <b/>
        <sz val="10"/>
        <rFont val="Arial"/>
        <family val="2"/>
      </rPr>
      <t>(with Fuel)</t>
    </r>
  </si>
  <si>
    <t>Subtotal (without Fuel)</t>
  </si>
  <si>
    <t>User supplied values</t>
  </si>
  <si>
    <t>Calculated (protected)</t>
  </si>
  <si>
    <t>Static (protected)</t>
  </si>
  <si>
    <r>
      <t xml:space="preserve">4 </t>
    </r>
    <r>
      <rPr>
        <b/>
        <sz val="10"/>
        <rFont val="Arial"/>
        <family val="2"/>
      </rPr>
      <t>Basic Empty Weight includes full oil capacity (8qts) and unusable fuel (2gal)</t>
    </r>
  </si>
  <si>
    <r>
      <t>Basic Empty Weight</t>
    </r>
    <r>
      <rPr>
        <b/>
        <vertAlign val="superscript"/>
        <sz val="10"/>
        <rFont val="Arial"/>
        <family val="2"/>
      </rPr>
      <t>4</t>
    </r>
  </si>
  <si>
    <t>Unusable gals</t>
  </si>
  <si>
    <t>Va = Vs * sqrt(n_limit)</t>
  </si>
  <si>
    <t>Va = Maneuvering speed for a particular weight.</t>
  </si>
  <si>
    <t>Vs = Stall speed for that particular weight.</t>
  </si>
  <si>
    <t>n_limit = Limit load factor (depends on category of aircraft)</t>
  </si>
  <si>
    <t>The Vs is typically offered at MGW in the POH.  To convert to a different weight...</t>
  </si>
  <si>
    <t>Va2 = Va * sqrt(W2 / W)</t>
  </si>
  <si>
    <t>Va2 = Maneuvering speed at an alternative weight</t>
  </si>
  <si>
    <t>W2 = Alternative weight</t>
  </si>
  <si>
    <t>The linear interpolation is an approximation.  Below is the more accurate calculation:</t>
  </si>
  <si>
    <t>W = The weight at which Va was originally computed.  </t>
  </si>
  <si>
    <t>03-24-2011, 09:00 PM   #7</t>
  </si>
  <si>
    <t>RV Driver</t>
  </si>
  <si>
    <t>Join Date: Mar 2008</t>
  </si>
  <si>
    <t>Posts: 711</t>
  </si>
  <si>
    <t>Re: Rate of climb difference at less than gross wt?</t>
  </si>
  <si>
    <t>The definition of a horsepower is that it will lift 33,000 pounds one foot in a minute. Or 1 pound 33,000 feet in a minute.</t>
  </si>
  <si>
    <t>So, hypothetically, let's say we have an airplane with a 200hp engine and an 80% efficient prop that climbs at 1,000 fpm at 2,000 lb.</t>
  </si>
  <si>
    <t>What that means is that it has sufficient excess power to lift 2,000 lb x 1000 ft/min = 2,000,000 ft*lb/min.</t>
  </si>
  <si>
    <t>Divide that by 33000 ft/min/hp to determine the excess HP required to climb at 1,000 fpm.</t>
  </si>
  <si>
    <t>2,000,000 ft*lb/min/ 33,000 ft*lb/hp/min = 60 hp. But you've gotta divide the hp by the 80% prop efficiency to get the actual hp:</t>
  </si>
  <si>
    <t>60/.8 = 75 excess hp.</t>
  </si>
  <si>
    <t>So what happens to the climb rate if you decrease the airplane's weight by 25% to 1500 lbs?</t>
  </si>
  <si>
    <t>Well, you start with your excess HP of 75 and multiply it by 80% prop efficiency. You're back to 60 Hp of thrust.</t>
  </si>
  <si>
    <t>60hp * 33,000 ft*lb/hp/min = 2,000,000 ft*lb/min. (same as before)</t>
  </si>
  <si>
    <t>So what's that do to your climb rate?</t>
  </si>
  <si>
    <t>2,000,000 ft*lb/min / 1,500 lb = 1,333 fpm or an increase of 333 fpm.</t>
  </si>
  <si>
    <t>Substitute your airplane's HP, estimated prop efficiency, weights, and a climb rate at one of the weights, and you can figure out other data points on the curve.</t>
  </si>
  <si>
    <t>BTW, this is the rough approximation. There are second and third level things at work, but this calculation is probably 95% accurate.</t>
  </si>
  <si>
    <t>Yesterday, 03:02 PM   #14</t>
  </si>
  <si>
    <t>Piloto</t>
  </si>
  <si>
    <t>Join Date: Jan 2006</t>
  </si>
  <si>
    <t>Posts: 2,342</t>
  </si>
  <si>
    <t>(HP-(W/30)) x (33000/W) = ft/min</t>
  </si>
  <si>
    <t>W = Weight of the aircraft in pounds</t>
  </si>
  <si>
    <t>HP = Total delivered engine power (prop eff. x shaft horsepower)</t>
  </si>
  <si>
    <t>When the above equation result is negative you have a descent rate.</t>
  </si>
  <si>
    <t xml:space="preserve">Climb rate is essentially a function of power and weight. At constant altitude there is a minimum required power to maintain an object in levitation. </t>
  </si>
  <si>
    <t xml:space="preserve">On Earth this is approximately 30pounds/hp. So for a 3000lb airplane out of ground effect it would require about 100hp for level flight at the most efficient speed. </t>
  </si>
  <si>
    <t xml:space="preserve">When you look at your POH power settings you will notice that the minimum power required at max altitude and weight closely relates to the above figure. </t>
  </si>
  <si>
    <t>To find climb rate you substract the engine actual power from the minimum power required for levitation and use it to compute climb rate:</t>
  </si>
  <si>
    <t>Based on the below descriptions the algebra works out to this equation:</t>
  </si>
  <si>
    <t>where:</t>
  </si>
  <si>
    <t>H = horsepower</t>
  </si>
  <si>
    <t>P = propeller efficiency</t>
  </si>
  <si>
    <t>W = weight</t>
  </si>
  <si>
    <t>Prop efficiency:</t>
  </si>
  <si>
    <t>Full power HP:</t>
  </si>
  <si>
    <t>ROC:</t>
  </si>
  <si>
    <t>Density Altitude:</t>
  </si>
  <si>
    <t>Gross Weight:</t>
  </si>
  <si>
    <t>A = altitude</t>
  </si>
  <si>
    <t>C = Max climb at full gross weight</t>
  </si>
  <si>
    <t>m = slope of POH ROC values (see above)</t>
  </si>
  <si>
    <t>ROC = (mA/C + 1)*(33000*(H*P)/W) - 1100</t>
  </si>
  <si>
    <t>Appch</t>
  </si>
  <si>
    <t>Version</t>
  </si>
  <si>
    <t>Sheet</t>
  </si>
  <si>
    <t>Fixes</t>
  </si>
  <si>
    <t>Radial format changed to 3 place with leading zeros.  "name" fields center alignment.</t>
  </si>
  <si>
    <t>number format on second VOR Freq to 1 decimal place</t>
  </si>
  <si>
    <t>Removed all graphic lines and replaced with cell bordering</t>
  </si>
  <si>
    <r>
      <t>Passenger weight (Front)</t>
    </r>
    <r>
      <rPr>
        <b/>
        <vertAlign val="superscript"/>
        <sz val="10"/>
        <rFont val="Arial"/>
        <family val="2"/>
      </rPr>
      <t>5</t>
    </r>
  </si>
  <si>
    <r>
      <t>Passenger weight (Back)</t>
    </r>
    <r>
      <rPr>
        <b/>
        <vertAlign val="superscript"/>
        <sz val="10"/>
        <rFont val="Arial"/>
        <family val="2"/>
      </rPr>
      <t>5</t>
    </r>
  </si>
  <si>
    <r>
      <rPr>
        <b/>
        <vertAlign val="superscript"/>
        <sz val="10"/>
        <rFont val="Arial"/>
        <family val="2"/>
      </rPr>
      <t>5</t>
    </r>
    <r>
      <rPr>
        <b/>
        <sz val="10"/>
        <rFont val="Arial"/>
        <family val="2"/>
      </rPr>
      <t xml:space="preserve"> Front seats in 4th notch aft. Adjustable front seat weighs 22.1 lbs. Non-adjustable 15.5 lbs</t>
    </r>
  </si>
  <si>
    <r>
      <t>Fuel (48 gal max)</t>
    </r>
    <r>
      <rPr>
        <b/>
        <vertAlign val="superscript"/>
        <sz val="10"/>
        <rFont val="Arial"/>
        <family val="2"/>
      </rPr>
      <t>2</t>
    </r>
  </si>
  <si>
    <t>W&amp;B 161</t>
  </si>
  <si>
    <t xml:space="preserve">Unusable fuel is accounted for in the Basic Empty Weight so removed it from the fuel total. </t>
  </si>
  <si>
    <t>Removed Weather Log to separate file</t>
  </si>
  <si>
    <t>Adjust as appropriate for make and model of plane.</t>
  </si>
  <si>
    <t xml:space="preserve">Interim values </t>
  </si>
  <si>
    <t>User supplied parameters for the calculation</t>
  </si>
  <si>
    <t xml:space="preserve">Leg </t>
  </si>
  <si>
    <t>Removed GPH reference to W&amp;B sheet. Replaced with POH value of 9.0 gph</t>
  </si>
  <si>
    <t>Va</t>
  </si>
  <si>
    <t>Vs</t>
  </si>
  <si>
    <t>Referenced Gross Weight to W&amp;B 161 sheet value.</t>
  </si>
  <si>
    <t>W&amp;B</t>
  </si>
  <si>
    <t xml:space="preserve">Deleted sheet. </t>
  </si>
  <si>
    <t>N1234N</t>
  </si>
  <si>
    <t>version 2.6</t>
  </si>
  <si>
    <t>NAVIGATION LOG</t>
  </si>
  <si>
    <t>Navigation Log Version 2.6</t>
  </si>
  <si>
    <t xml:space="preserve">Here is a VFR Navigation log I've been working on for some time, and an example. </t>
  </si>
  <si>
    <t xml:space="preserve">Some explanation is required. </t>
  </si>
  <si>
    <t>First, note the distinction made between "data entered" and "data configured".  "Data entered" means you need to enter the data for each flight, for example the W&amp;B161 sheet.  "Data configured" means data you set up once for your particular aircraft, for example the "Climb, Eng Perf", Va, and Vs sheets.</t>
  </si>
  <si>
    <t>All of the sheets should be protected from inadvertant changes.  There is no password on the protection so you can turn it off and on the Toolbar. I suggest when you do change something you protect the sheet again, and note the changes on the Change Log sheet.</t>
  </si>
  <si>
    <t>---------------------------------------------------------------------------</t>
  </si>
  <si>
    <t xml:space="preserve">There are 12 sheets.  </t>
  </si>
  <si>
    <t>Sheet 1.  Fixes</t>
  </si>
  <si>
    <t xml:space="preserve">Contains data tables for a position fix.  There is space for 3 independent VOR fixes per position fix.  For each VOR fix a column is provided for: name, identifier, frequency, radial, and distance (write over the column headers for the third fix). There are no references from this sheet to others. The sheet can be changed with impunity. </t>
  </si>
  <si>
    <t>Example:  Monroe | MLU | 117.2 | 230 | 8.7 |</t>
  </si>
  <si>
    <t>I generally create a Fix sheet for each Leg sheet even if it is blank.</t>
  </si>
  <si>
    <t>Sheet 2. Leg</t>
  </si>
  <si>
    <t xml:space="preserve">This sheet is the Navigation Log. It is organized in a number of outlined blocks. </t>
  </si>
  <si>
    <t xml:space="preserve">Upper left is a Weight and Balance block, with various speeds adjusted for aircraft weight. Gray values in this block are taken/calculated from W&amp;B161, Va, and Vs sheets. </t>
  </si>
  <si>
    <t>Leg Info block gives time, distance, and fuel usage for taxi, takeoff, cruise, and descent. Vr, Vx, and Vy are simply values input from your POH. Gray values from this block are taken/calculated from the Climb,Eng.Perf sheet.</t>
  </si>
  <si>
    <t>A Notes section is provided for random notes.</t>
  </si>
  <si>
    <t xml:space="preserve">Upper Right is an ATC block for noting ATC Frequencies and transponder codes for flight following handoffs. </t>
  </si>
  <si>
    <t>Check Points (Fixes) is a column and two rows of values. In the small first column of the first fix of each sheet put the fix number. The rest of the numbers should populate as you enter a fix name.  Put the fix name on the first row and any helpful information on the second row.  See the example sheet.</t>
  </si>
  <si>
    <t xml:space="preserve">The VOR columns provide up to two fixes for each Check Point. </t>
  </si>
  <si>
    <t xml:space="preserve">Altitude is your chosen cruise altitude. </t>
  </si>
  <si>
    <t>The Wind block allows the input of winds and temperature aloft data. These values are used for calculations in the course block.</t>
  </si>
  <si>
    <t>Choose your CAS value and it populates down the column. Us any type airspeed you want.</t>
  </si>
  <si>
    <t xml:space="preserve">The Course block uses the Wind block data and the data you input to the Course block to ultimately calculate your course heading. TC = True Course, TH = True Heading, MH = Magnetic Heading, CH = Course Heading (this is your course for the subleg). </t>
  </si>
  <si>
    <t xml:space="preserve">Dist/GS block tracks your distance traveled and remaining, as well as your estimated and actual Ground Speeds. GS = Ground Speed, Total Fuel = Total USABLE Fuel. In the white box under Rem, put your total leg distance. In each white box below put the subleg distance and the block calculates your remaining distance at each subleg. </t>
  </si>
  <si>
    <t>Time off and Fuel block tracks your Estimated and Actual Times Enroute and Estimated and Actual Times of Arrival. Again, the gray boxes are caclulated, the white are for your input.</t>
  </si>
  <si>
    <t xml:space="preserve">Put your usable fuel quantity in the Total Fuel box. Based on the GPH value the sheet calculates your fuel usage and fuel remaining. </t>
  </si>
  <si>
    <t>Airport &amp; ATIS block provides columns for airport and weather data for your Departure and Destination airports. None of the data is calculated. Boxes are provided for up to 3 runways. I generally list the Traffic directions in the traffic box for all the runways separated by '/'. For example "R / L / R"</t>
  </si>
  <si>
    <t xml:space="preserve">Airport Frequencies Block provides various frequencies for your departure and destination airports. </t>
  </si>
  <si>
    <t>Sheet 3. Climb, Eng.Perf</t>
  </si>
  <si>
    <t>In the table you enter the climb data from your particular POH. There are some Density Altitude calculations on the right-hand side, and are used as a standalone calculator for Rate of Climb and Engine RPM/Power. ROC and Engine Performance numbers will need to be derived for your own plane. Configure the Sea Level Values from your plane's POH.</t>
  </si>
  <si>
    <t>Sheets 4 &amp; 5. W&amp;B161 and W&amp;B180</t>
  </si>
  <si>
    <t xml:space="preserve">These are weight and center of gravity calculator sheets for the Piper PA-28-161 and the Piper PA-28-180. Currently the workbook is configured to use the W&amp;B161 sheet. To adjust for your aircraft, fill out the weight and arm columns with the data from your particular POH. Yellow cells are static values specific to your aircraft. Gray cells are calculated. Both yellow and gray cells are protected. White cells are data input. You will have to adjust the chart to your particlar plane.  </t>
  </si>
  <si>
    <t>Sheet 6. Va</t>
  </si>
  <si>
    <t>This is your "Manuvering Speed", and what is provided is specific to the PA-28-161. To customize it to your plane, enter into the yellow cells the endpoints of Va as supplied in your POH. My POH lists 2 Va values, (111.0 @ 2325) and (88.0 @ 1531). Gross weight is taken from the W&amp;B sheet. When you enter you specific values the chart will adjust. You may have to manually adjust the axes.</t>
  </si>
  <si>
    <t xml:space="preserve">Sheet 7. Vs </t>
  </si>
  <si>
    <t>This sheet contains calculators for Vs0 (full flaps stall speed) and Vs1 (no flaps stall speed). Again to adjust for you particular plane replace the weight and speed values from your POH. My POH lists the following for Vs0: (44.0 @ 2325) and (37.0 @ 1600). Gross weight is taken from the W&amp;B sheet. When you enter you specific values the chart will adjust. You may have to manually adjust the axes. Please note your stall speeds may include retractable landing gear considerations.</t>
  </si>
  <si>
    <t>Sheet 8. Vx|Vy</t>
  </si>
  <si>
    <t xml:space="preserve">Calculates Vx and Vy. You will need to configure for your plane just as for the Va and Vs sheets. This sheet is informational only and is NOT used by any other sheet. As such it could be deleted. </t>
  </si>
  <si>
    <t>Sheet 9. ROC</t>
  </si>
  <si>
    <t xml:space="preserve">Rate of Climb.  You will need to configure for your plane just as for the Va, Vs, and Vx|Vy sheets. This sheet is informational only and is NOT used by any other sheet. As such it could be deleted. </t>
  </si>
  <si>
    <t>Sheet 10. Standard Atmosphere</t>
  </si>
  <si>
    <t xml:space="preserve">Just a standard atmosphere look up table. This sheet is informational only and is NOT used by any other sheet. As such it could be deleted. </t>
  </si>
  <si>
    <t>Sheet 11. Change Log</t>
  </si>
  <si>
    <t>Sheet 12. Help - You're looking at it.</t>
  </si>
  <si>
    <t>The following information is from previous versions of the workbook and may no longer be appropriate.  When in doubt check the formulas your self.</t>
  </si>
  <si>
    <t>The Navigation Log</t>
  </si>
  <si>
    <t>For each leg of a flight the first sheet can be copied.  Fields will be described.</t>
  </si>
  <si>
    <t>Weight: this is calculated from the information on the W&amp;B sheet, except the fuel quantity which is from the "Total Fuel" field on the NavLog.  Also the "Unused gallons" value is added to the "Total Fuel" value.  See "Total Fuel" description below.</t>
  </si>
  <si>
    <t>Weight = (Total_Usable_Fuel_gallons + Unuseable_fuel_gallons)*6 + Basic_Empty_Weight + Pilot_and_Front_Passenger + Baggage</t>
  </si>
  <si>
    <t>%MGW: This is calculated from the Weight and from the Maximum Gross Weight entered on the W&amp;B sheet.  This value is needed by the Takeoff Performance Computer and is convenient to have readily available for on-the-fly calculations.  You may want to calculate your takeoff roll BEFORE committing to a short field.</t>
  </si>
  <si>
    <t>%MGW = 100*Weight/MaxGrossWeight</t>
  </si>
  <si>
    <t>CG Pos.: as for "Weight" above this is calculated from the information on the W&amp;B sheet, except the fuel quantity which is from the "Total Fuel" field on the NavLog.  Also the "Unused gallons" value is added to the "Total Fuel" value.  See "Total Fuel" description below.</t>
  </si>
  <si>
    <t>CG Pos. = ((Basic_Empty_Weight_moment + Pilot_and_Front_Passenger_moment + Baggage_moment) + (Fuel_arm * (Total_Useable_fuel_gallons + Unuseable_fuel_gallons)*6)) / Weight</t>
  </si>
  <si>
    <t>Va, Vs0, Vs1: all calculated from the Weight and the slope (m) and y-intercept (b) from the respective sheet.</t>
  </si>
  <si>
    <t>Va, Vs0, Vs1 = (Weight * m) + b</t>
  </si>
  <si>
    <t>Hobbs: Spaces for "Hobbs Out" and "Hobbs In".</t>
  </si>
  <si>
    <t>Date: Date of the flight.</t>
  </si>
  <si>
    <t>Taxi/Runup: Amount of fuel assumed used in start up, runup, and taxi.</t>
  </si>
  <si>
    <t xml:space="preserve">TO/Climb: Amount of fuel used to takeoff and climb to the first "Altitude".  This is calculated from the data on the "Climb" sheet. </t>
  </si>
  <si>
    <t>Leg-Climb: (Leg minus Climb) Amount of fuel used to cruise the remaining distance on the first segment.  Uses the "Leg" distance of the first segment minus the calculated climb distance.</t>
  </si>
  <si>
    <t>Vr: Rotation speed at maximum gross weight.</t>
  </si>
  <si>
    <t xml:space="preserve">Vx: Best climb angle at maximum gross weight and at sea level under standard temperature and pressure. </t>
  </si>
  <si>
    <t xml:space="preserve">Vy: Best climb rate at maximum gross weight and at sea level under standard temperature and pressure. </t>
  </si>
  <si>
    <t>ATC Freq. and Transpondr: These are labels for the field above.  This is the place to write down your transponder code from Air Traffic Control, and to write down the next ATC frequency as you are handed off from ATC facility to ATC facility.  The labels are at the bottom of the columns so the clipboard clip does not obscure them.</t>
  </si>
  <si>
    <t>Check Points (Fixes): Place your Checkpoint, waypoint, or airport in the upper-left cell of the box.  Applicable VOR identification and frequency can be placed in the appropriate cells to the right.  I usually put the VOR radial in the lower-center cell of this box.  See the example for this and other ways to record VOR information.</t>
  </si>
  <si>
    <t xml:space="preserve">Course (Route): This is a holdover from the source template and I tend to ignore it.  You can put a 'D' in it if you are flying through or 'L' if you are landing. </t>
  </si>
  <si>
    <t>Altitude: Place the altitude at which you are going to fly the segment in the upper cell of the box.  The value of the first altitude is used to calculate the "TO/Climb" and "Leg-Climb" cells.</t>
  </si>
  <si>
    <t xml:space="preserve">Wind: Dir., Vel., Temp: This is where you record the wind parameters at the altitude you are going to fly.  These values are used to calculate your eventual course. Temp is ignored and are for your records only. </t>
  </si>
  <si>
    <t>CAS : Calibrated Airspeed: Used to calculate your "GS Est." (estimated ground speed) and your "ETE" (estimated time enroute".</t>
  </si>
  <si>
    <t xml:space="preserve">Cells that are greyed out are calculated.  Cells that are white you supply values or record values during the flight.  </t>
  </si>
  <si>
    <t>TC : True Course.  The true course heading for the flight segment.  You determine this from your chart.  This is used to calculate your "TH" (True Heading), "MH" (Magnetic Heading), and "CH" (course heading).</t>
  </si>
  <si>
    <t>TH : True Heading.  Your True Course adjusted for the Wind Direction and Velocity.</t>
  </si>
  <si>
    <t>MH : Magnetic Heading.  Your True Heading adjusted for magnetic variation.  Magnetic variation is marked by dashed isogonic lines on your chart.  It is a function of where you are on the earth.</t>
  </si>
  <si>
    <t xml:space="preserve">CH : Course Heading : Your Magnetic Heading corrected for your particular compass deviation.  </t>
  </si>
  <si>
    <t xml:space="preserve">WCA : Wind Correction Angle.  This cell is calculated from the wind direction and velocity, your CAS, and your TC.  A negative value is a left correction and a positive value is a right correction.  </t>
  </si>
  <si>
    <t xml:space="preserve">Var. : Magnetic Variation.  You must supply this value.  East variations are entered as negative numbers and west variations are entered as positive numbers. </t>
  </si>
  <si>
    <t xml:space="preserve">Dev : Compass Deviation.  You must supply this value from the information on your compass deviation card generally affixed to the magnetic compass in the cockpit.  Compasses can vary in their deviation across the magnet rose, so this value will depend on your MH.  For example if your compass card lists a -1.2 degree deviation at 270 degrees and your MH is 270 or close, enter -1.2 in this cell.  An enhancement of this sheet might be to add a Mag. Dev. sheet and have the user enter the data from their particular compass card.  The calculation could then just look it up and interpolate. </t>
  </si>
  <si>
    <t>Dist., Leg, Rem : Distance, leg, remaining.  The total distance on the sheet goes in the first blank box below "Rem".  For each segment (leg) you enter the segment distance and this is subtracted from the total distance and the remaining distance is displayed.  You last displayed remaining distance value should be 0 (zero).  If not, you have some inconsistency.</t>
  </si>
  <si>
    <t xml:space="preserve">GS, Est., Act. : Ground Speed, Estimated, Actual.  The actual value is calculated from your "ATE".  Your ground speed estimate is calculated from the course and wind data.  </t>
  </si>
  <si>
    <t xml:space="preserve">Total Fuel : Total USABLE fuel.  Remember there is always some small amount of fuel that can not be picked up out of your tank(s).  This quantity of fuel is listed in your POH.  My plane has 2 25 gallon fuel tanks and each is listed as have 1 gallon unusable.  Hence my Total Fuel is 50 - 2 = 48.  From "Total Fuel", "GPH", and "ETE", your fuel usage is estimated. </t>
  </si>
  <si>
    <t>Time Off : This is the time you took off.  Enter the value BEFORE you start your takeoff roll.</t>
  </si>
  <si>
    <t xml:space="preserve">GPH : Gallons Per Hour.  This value is taken from the GPH field on the "W&amp;B" sheet.  When you set this value on the "W&amp;B" sheet be conservative.  If you are a gallon per hour over actual usage, then you have given yourself a margin for error.  Unbelievably, too many pilots crash from fuel exhaustion and it gives the rest of us a bad name.  </t>
  </si>
  <si>
    <t>ETE : Estimated Time Enroute.  This is calculated from your segment distance and your estimated ground speed.  The first segment takes into account your takeoff climb.</t>
  </si>
  <si>
    <t>ATE : Actual Time Enroute.  Use your stopwatch and enter the value here.  From this value your actual ground speed is calculated.</t>
  </si>
  <si>
    <t xml:space="preserve">ETA, ATA : Estimated Time of Arrival, Actual Time of Arrival.  You supply both values. </t>
  </si>
  <si>
    <t>Fuel, Rem : The upper cell in the segment is the estimated fuel usage and the lower cell is your remaining fuel.  When you have multiple navigation logs you will take the last value for remaining fuel and enter it in the next sheet's "Total Fuel" cell.  Or you can link the next sheet's "Total Fuel" cell with the last remaining fuel value.</t>
  </si>
  <si>
    <t xml:space="preserve">The final columns are places for you to keep information about your Departure and Destination airports.  You should use a separate sheet for each takeoff and landing cycle.  Remember the first segment on a sheet ASSUMES a takeoff and climb to altitude. </t>
  </si>
  <si>
    <t xml:space="preserve">Place the Airport codes in the row below the label "Airport Labels".  This keeps them visible in the centerish of the sheet.  </t>
  </si>
  <si>
    <t>See the example workbook.</t>
  </si>
  <si>
    <t>ATE : Actual Time Enroute</t>
  </si>
</sst>
</file>

<file path=xl/styles.xml><?xml version="1.0" encoding="utf-8"?>
<styleSheet xmlns="http://schemas.openxmlformats.org/spreadsheetml/2006/main">
  <numFmts count="3">
    <numFmt numFmtId="164" formatCode="0.0"/>
    <numFmt numFmtId="165" formatCode="000"/>
    <numFmt numFmtId="166" formatCode="0.00000"/>
  </numFmts>
  <fonts count="26">
    <font>
      <sz val="10"/>
      <name val="Arial"/>
    </font>
    <font>
      <b/>
      <sz val="10"/>
      <color indexed="9"/>
      <name val="Arial"/>
      <family val="2"/>
    </font>
    <font>
      <sz val="9"/>
      <name val="Arial"/>
      <family val="2"/>
    </font>
    <font>
      <b/>
      <sz val="8"/>
      <name val="Arial"/>
      <family val="2"/>
    </font>
    <font>
      <b/>
      <sz val="9"/>
      <name val="Arial"/>
      <family val="2"/>
    </font>
    <font>
      <b/>
      <sz val="10"/>
      <name val="Arial"/>
      <family val="2"/>
    </font>
    <font>
      <b/>
      <sz val="12"/>
      <color indexed="9"/>
      <name val="Arial"/>
      <family val="2"/>
    </font>
    <font>
      <b/>
      <vertAlign val="subscript"/>
      <sz val="10"/>
      <name val="Arial"/>
      <family val="2"/>
    </font>
    <font>
      <sz val="10"/>
      <name val="Arial"/>
      <family val="2"/>
    </font>
    <font>
      <b/>
      <sz val="12"/>
      <name val="Arial"/>
      <family val="2"/>
    </font>
    <font>
      <sz val="12"/>
      <name val="Arial"/>
      <family val="2"/>
    </font>
    <font>
      <sz val="14"/>
      <name val="Arial"/>
      <family val="2"/>
    </font>
    <font>
      <b/>
      <sz val="14"/>
      <name val="Arial"/>
      <family val="2"/>
    </font>
    <font>
      <sz val="8"/>
      <name val="Arial"/>
      <family val="2"/>
    </font>
    <font>
      <vertAlign val="subscript"/>
      <sz val="10"/>
      <name val="Arial"/>
      <family val="2"/>
    </font>
    <font>
      <b/>
      <vertAlign val="superscript"/>
      <sz val="10"/>
      <name val="Arial"/>
      <family val="2"/>
    </font>
    <font>
      <b/>
      <vertAlign val="subscript"/>
      <sz val="9"/>
      <name val="Arial"/>
      <family val="2"/>
    </font>
    <font>
      <b/>
      <sz val="11"/>
      <name val="Arial"/>
      <family val="2"/>
    </font>
    <font>
      <sz val="12"/>
      <color indexed="9"/>
      <name val="Arial"/>
      <family val="2"/>
    </font>
    <font>
      <sz val="8"/>
      <name val="Arial"/>
      <family val="2"/>
    </font>
    <font>
      <sz val="11"/>
      <name val="Arial"/>
      <family val="2"/>
    </font>
    <font>
      <b/>
      <sz val="16"/>
      <name val="Arial"/>
      <family val="2"/>
    </font>
    <font>
      <sz val="12"/>
      <name val="Arial"/>
      <family val="2"/>
    </font>
    <font>
      <b/>
      <sz val="12"/>
      <name val="Arial"/>
      <family val="2"/>
    </font>
    <font>
      <b/>
      <sz val="10"/>
      <name val="Arial"/>
      <family val="2"/>
    </font>
    <font>
      <u/>
      <sz val="10"/>
      <color theme="10"/>
      <name val="Arial"/>
      <family val="2"/>
    </font>
  </fonts>
  <fills count="11">
    <fill>
      <patternFill patternType="none"/>
    </fill>
    <fill>
      <patternFill patternType="gray125"/>
    </fill>
    <fill>
      <patternFill patternType="solid">
        <fgColor indexed="8"/>
        <bgColor indexed="64"/>
      </patternFill>
    </fill>
    <fill>
      <patternFill patternType="gray0625"/>
    </fill>
    <fill>
      <patternFill patternType="solid">
        <fgColor indexed="22"/>
        <bgColor indexed="64"/>
      </patternFill>
    </fill>
    <fill>
      <patternFill patternType="solid">
        <fgColor indexed="13"/>
        <bgColor indexed="64"/>
      </patternFill>
    </fill>
    <fill>
      <patternFill patternType="solid">
        <fgColor indexed="47"/>
        <bgColor indexed="64"/>
      </patternFill>
    </fill>
    <fill>
      <patternFill patternType="gray0625">
        <bgColor indexed="9"/>
      </patternFill>
    </fill>
    <fill>
      <patternFill patternType="solid">
        <fgColor indexed="43"/>
        <bgColor indexed="64"/>
      </patternFill>
    </fill>
    <fill>
      <patternFill patternType="solid">
        <fgColor rgb="FFFFFF00"/>
        <bgColor indexed="64"/>
      </patternFill>
    </fill>
    <fill>
      <patternFill patternType="solid">
        <fgColor theme="2"/>
        <bgColor indexed="64"/>
      </patternFill>
    </fill>
  </fills>
  <borders count="114">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n">
        <color indexed="64"/>
      </bottom>
      <diagonal/>
    </border>
    <border>
      <left/>
      <right/>
      <top style="thin">
        <color indexed="64"/>
      </top>
      <bottom style="thick">
        <color indexed="64"/>
      </bottom>
      <diagonal/>
    </border>
    <border>
      <left style="thick">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style="thin">
        <color indexed="64"/>
      </left>
      <right style="thick">
        <color indexed="64"/>
      </right>
      <top style="thin">
        <color indexed="64"/>
      </top>
      <bottom/>
      <diagonal/>
    </border>
    <border>
      <left/>
      <right style="thick">
        <color indexed="64"/>
      </right>
      <top style="thick">
        <color indexed="64"/>
      </top>
      <bottom/>
      <diagonal/>
    </border>
    <border>
      <left style="thin">
        <color indexed="64"/>
      </left>
      <right style="thick">
        <color indexed="64"/>
      </right>
      <top style="thin">
        <color indexed="64"/>
      </top>
      <bottom style="thin">
        <color indexed="64"/>
      </bottom>
      <diagonal/>
    </border>
    <border>
      <left/>
      <right/>
      <top style="thick">
        <color indexed="64"/>
      </top>
      <bottom/>
      <diagonal/>
    </border>
    <border>
      <left style="thin">
        <color indexed="64"/>
      </left>
      <right style="thick">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bottom/>
      <diagonal/>
    </border>
    <border>
      <left style="thick">
        <color indexed="64"/>
      </left>
      <right style="thin">
        <color indexed="64"/>
      </right>
      <top style="thin">
        <color indexed="64"/>
      </top>
      <bottom/>
      <diagonal/>
    </border>
    <border>
      <left style="thin">
        <color indexed="64"/>
      </left>
      <right style="thin">
        <color indexed="64"/>
      </right>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top/>
      <bottom style="thin">
        <color indexed="64"/>
      </bottom>
      <diagonal/>
    </border>
    <border>
      <left style="thin">
        <color indexed="64"/>
      </left>
      <right style="thin">
        <color indexed="64"/>
      </right>
      <top style="thick">
        <color indexed="64"/>
      </top>
      <bottom style="thick">
        <color indexed="64"/>
      </bottom>
      <diagonal/>
    </border>
    <border>
      <left style="thick">
        <color indexed="64"/>
      </left>
      <right/>
      <top style="thin">
        <color indexed="64"/>
      </top>
      <bottom/>
      <diagonal/>
    </border>
    <border>
      <left/>
      <right style="thick">
        <color indexed="64"/>
      </right>
      <top style="thin">
        <color indexed="64"/>
      </top>
      <bottom/>
      <diagonal/>
    </border>
    <border>
      <left/>
      <right/>
      <top style="medium">
        <color indexed="64"/>
      </top>
      <bottom/>
      <diagonal/>
    </border>
  </borders>
  <cellStyleXfs count="3">
    <xf numFmtId="0" fontId="0" fillId="0" borderId="0"/>
    <xf numFmtId="0" fontId="25" fillId="0" borderId="0" applyNumberFormat="0" applyFill="0" applyBorder="0" applyAlignment="0" applyProtection="0">
      <alignment vertical="top"/>
      <protection locked="0"/>
    </xf>
    <xf numFmtId="0" fontId="8" fillId="0" borderId="0"/>
  </cellStyleXfs>
  <cellXfs count="463">
    <xf numFmtId="0" fontId="0" fillId="0" borderId="0" xfId="0"/>
    <xf numFmtId="0" fontId="0" fillId="0" borderId="0" xfId="0" applyBorder="1"/>
    <xf numFmtId="0" fontId="0" fillId="0" borderId="6" xfId="0" applyBorder="1"/>
    <xf numFmtId="0" fontId="0" fillId="0" borderId="7" xfId="0" applyBorder="1"/>
    <xf numFmtId="0" fontId="0" fillId="0" borderId="8" xfId="0" applyBorder="1"/>
    <xf numFmtId="0" fontId="0" fillId="0" borderId="13" xfId="0" applyBorder="1" applyAlignment="1">
      <alignment horizontal="center" vertical="center"/>
    </xf>
    <xf numFmtId="0" fontId="0" fillId="0" borderId="13" xfId="0" applyBorder="1"/>
    <xf numFmtId="0" fontId="3" fillId="0" borderId="14" xfId="0" applyFont="1" applyBorder="1" applyAlignment="1">
      <alignment horizontal="center" vertical="center"/>
    </xf>
    <xf numFmtId="0" fontId="5" fillId="0" borderId="6" xfId="0" applyFont="1" applyFill="1" applyBorder="1" applyAlignment="1">
      <alignment horizontal="center"/>
    </xf>
    <xf numFmtId="0" fontId="5" fillId="0" borderId="8" xfId="0" applyFont="1" applyBorder="1" applyAlignment="1">
      <alignment horizontal="center"/>
    </xf>
    <xf numFmtId="0" fontId="5" fillId="0" borderId="2" xfId="0" applyFont="1" applyBorder="1" applyAlignment="1">
      <alignment horizontal="center" vertical="center"/>
    </xf>
    <xf numFmtId="0" fontId="5" fillId="0" borderId="5" xfId="0" applyFont="1" applyBorder="1" applyAlignment="1">
      <alignment horizontal="left" vertical="center"/>
    </xf>
    <xf numFmtId="0" fontId="0" fillId="0" borderId="12" xfId="0" applyBorder="1" applyAlignment="1">
      <alignment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13" xfId="0" applyFill="1" applyBorder="1" applyAlignment="1">
      <alignment horizontal="center" vertical="center"/>
    </xf>
    <xf numFmtId="0" fontId="0" fillId="0" borderId="6" xfId="0" applyFill="1" applyBorder="1" applyAlignment="1">
      <alignment horizontal="center" vertical="center"/>
    </xf>
    <xf numFmtId="0" fontId="0" fillId="0" borderId="2" xfId="0" applyBorder="1" applyAlignment="1" applyProtection="1">
      <alignment horizontal="center" vertical="center"/>
      <protection locked="0"/>
    </xf>
    <xf numFmtId="164" fontId="13" fillId="0" borderId="14" xfId="0" applyNumberFormat="1"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6" fillId="2" borderId="9" xfId="0" applyFont="1" applyFill="1" applyBorder="1" applyProtection="1">
      <protection locked="0"/>
    </xf>
    <xf numFmtId="0" fontId="6" fillId="2" borderId="9" xfId="0" applyFont="1" applyFill="1" applyBorder="1"/>
    <xf numFmtId="164" fontId="0" fillId="0" borderId="14" xfId="0" applyNumberFormat="1" applyBorder="1" applyAlignment="1">
      <alignment horizontal="center" vertical="center"/>
    </xf>
    <xf numFmtId="0" fontId="8" fillId="0" borderId="0" xfId="0" applyFont="1" applyAlignment="1">
      <alignment horizontal="left" vertical="center"/>
    </xf>
    <xf numFmtId="164" fontId="8" fillId="0" borderId="0" xfId="0" applyNumberFormat="1" applyFont="1" applyAlignment="1">
      <alignment horizontal="center" vertical="center"/>
    </xf>
    <xf numFmtId="0" fontId="8" fillId="0" borderId="0" xfId="0" applyFont="1"/>
    <xf numFmtId="0" fontId="5" fillId="0" borderId="0" xfId="0" applyFont="1" applyAlignment="1">
      <alignment horizontal="left" vertical="center"/>
    </xf>
    <xf numFmtId="1" fontId="0" fillId="0" borderId="0" xfId="0" applyNumberFormat="1"/>
    <xf numFmtId="164" fontId="0" fillId="0" borderId="0" xfId="0" applyNumberFormat="1"/>
    <xf numFmtId="164" fontId="0" fillId="0" borderId="0" xfId="0" applyNumberFormat="1" applyAlignment="1">
      <alignment horizontal="center" vertical="center"/>
    </xf>
    <xf numFmtId="1" fontId="0" fillId="0" borderId="0" xfId="0" applyNumberFormat="1" applyAlignment="1">
      <alignment horizontal="center" vertical="center"/>
    </xf>
    <xf numFmtId="164" fontId="5" fillId="0" borderId="0" xfId="0" applyNumberFormat="1" applyFont="1" applyAlignment="1">
      <alignment horizontal="center" vertical="center"/>
    </xf>
    <xf numFmtId="164" fontId="0" fillId="4" borderId="0" xfId="0" applyNumberFormat="1" applyFill="1" applyAlignment="1">
      <alignment horizontal="center" vertical="center"/>
    </xf>
    <xf numFmtId="164" fontId="10" fillId="0" borderId="14" xfId="0" applyNumberFormat="1" applyFont="1" applyBorder="1" applyAlignment="1" applyProtection="1">
      <alignment horizontal="center" vertical="center"/>
      <protection locked="0"/>
    </xf>
    <xf numFmtId="0" fontId="15" fillId="0" borderId="0" xfId="0" applyFont="1" applyAlignment="1">
      <alignment horizontal="left" vertical="center"/>
    </xf>
    <xf numFmtId="166" fontId="0" fillId="4" borderId="0" xfId="0" applyNumberFormat="1" applyFill="1"/>
    <xf numFmtId="164" fontId="8" fillId="0" borderId="0" xfId="0" applyNumberFormat="1" applyFont="1" applyFill="1" applyAlignment="1">
      <alignment horizontal="center" vertical="center"/>
    </xf>
    <xf numFmtId="0" fontId="10" fillId="2" borderId="9" xfId="0" applyFont="1" applyFill="1" applyBorder="1"/>
    <xf numFmtId="0" fontId="10" fillId="2" borderId="4" xfId="0" applyFont="1" applyFill="1" applyBorder="1"/>
    <xf numFmtId="0" fontId="0" fillId="0" borderId="0" xfId="0" applyAlignment="1" applyProtection="1">
      <alignment vertical="center"/>
    </xf>
    <xf numFmtId="0" fontId="0" fillId="0" borderId="0" xfId="0" applyAlignment="1" applyProtection="1">
      <alignment vertical="center"/>
      <protection locked="0"/>
    </xf>
    <xf numFmtId="0" fontId="8" fillId="0" borderId="0" xfId="0" applyFont="1" applyAlignment="1" applyProtection="1">
      <alignment vertical="center"/>
    </xf>
    <xf numFmtId="164" fontId="0" fillId="0" borderId="0" xfId="0" applyNumberFormat="1" applyAlignment="1" applyProtection="1">
      <alignment vertical="center"/>
      <protection locked="0"/>
    </xf>
    <xf numFmtId="0" fontId="5" fillId="0" borderId="0" xfId="0" applyFont="1" applyAlignment="1" applyProtection="1">
      <alignment vertical="center"/>
    </xf>
    <xf numFmtId="1" fontId="5" fillId="0" borderId="0" xfId="0" applyNumberFormat="1" applyFont="1"/>
    <xf numFmtId="1" fontId="0" fillId="4" borderId="0" xfId="0" applyNumberFormat="1" applyFill="1" applyAlignment="1">
      <alignment horizontal="center" vertical="center"/>
    </xf>
    <xf numFmtId="1" fontId="5" fillId="0" borderId="0" xfId="0" applyNumberFormat="1" applyFont="1" applyAlignment="1">
      <alignment horizontal="center" vertical="center"/>
    </xf>
    <xf numFmtId="164" fontId="5" fillId="0" borderId="0" xfId="0" applyNumberFormat="1" applyFont="1" applyAlignment="1">
      <alignment horizontal="right"/>
    </xf>
    <xf numFmtId="0" fontId="5" fillId="0" borderId="0" xfId="0" applyFont="1"/>
    <xf numFmtId="1" fontId="0" fillId="5" borderId="0" xfId="0" applyNumberFormat="1" applyFill="1"/>
    <xf numFmtId="164" fontId="0" fillId="0" borderId="0" xfId="0" applyNumberFormat="1" applyFill="1"/>
    <xf numFmtId="1" fontId="0" fillId="4" borderId="0" xfId="0" applyNumberFormat="1" applyFill="1"/>
    <xf numFmtId="1" fontId="0" fillId="6" borderId="0" xfId="0" applyNumberFormat="1" applyFill="1"/>
    <xf numFmtId="164" fontId="0" fillId="4" borderId="0" xfId="0" applyNumberFormat="1" applyFill="1" applyProtection="1"/>
    <xf numFmtId="166" fontId="0" fillId="4" borderId="0" xfId="0" applyNumberFormat="1" applyFill="1" applyProtection="1"/>
    <xf numFmtId="164" fontId="0" fillId="0" borderId="0" xfId="0" applyNumberFormat="1" applyProtection="1"/>
    <xf numFmtId="1" fontId="0" fillId="5" borderId="0" xfId="0" applyNumberFormat="1" applyFill="1" applyProtection="1"/>
    <xf numFmtId="0" fontId="0" fillId="5" borderId="0" xfId="0" applyFill="1" applyProtection="1"/>
    <xf numFmtId="1" fontId="8" fillId="0" borderId="0" xfId="0" applyNumberFormat="1" applyFont="1"/>
    <xf numFmtId="1" fontId="5" fillId="0" borderId="0" xfId="0" applyNumberFormat="1" applyFont="1" applyFill="1"/>
    <xf numFmtId="1" fontId="9" fillId="0" borderId="0" xfId="0" applyNumberFormat="1" applyFont="1" applyFill="1"/>
    <xf numFmtId="0" fontId="10" fillId="0" borderId="0" xfId="0" applyFont="1"/>
    <xf numFmtId="2" fontId="10" fillId="0" borderId="0" xfId="0" applyNumberFormat="1" applyFont="1"/>
    <xf numFmtId="164" fontId="10" fillId="0" borderId="0" xfId="0" applyNumberFormat="1" applyFont="1"/>
    <xf numFmtId="1" fontId="9" fillId="0" borderId="0" xfId="0" applyNumberFormat="1" applyFont="1"/>
    <xf numFmtId="1" fontId="10" fillId="0" borderId="0" xfId="0" applyNumberFormat="1" applyFont="1"/>
    <xf numFmtId="1" fontId="9" fillId="0" borderId="0" xfId="0" applyNumberFormat="1" applyFont="1" applyAlignment="1">
      <alignment horizontal="right"/>
    </xf>
    <xf numFmtId="164" fontId="9" fillId="0" borderId="0" xfId="0" applyNumberFormat="1" applyFont="1" applyAlignment="1">
      <alignment horizontal="right"/>
    </xf>
    <xf numFmtId="2" fontId="9" fillId="0" borderId="0" xfId="0" applyNumberFormat="1" applyFont="1" applyAlignment="1">
      <alignment horizontal="right"/>
    </xf>
    <xf numFmtId="0" fontId="10" fillId="0" borderId="0" xfId="0" applyFont="1" applyAlignment="1">
      <alignment horizontal="right"/>
    </xf>
    <xf numFmtId="164" fontId="0" fillId="0" borderId="6" xfId="0" applyNumberFormat="1" applyFill="1" applyBorder="1" applyAlignment="1">
      <alignment horizontal="center" vertical="center"/>
    </xf>
    <xf numFmtId="164" fontId="0" fillId="0" borderId="13" xfId="0" applyNumberFormat="1" applyFill="1" applyBorder="1" applyAlignment="1">
      <alignment horizontal="center" vertical="center"/>
    </xf>
    <xf numFmtId="164" fontId="0" fillId="0" borderId="7" xfId="0" applyNumberFormat="1" applyFill="1" applyBorder="1" applyAlignment="1">
      <alignment horizontal="center" vertical="center"/>
    </xf>
    <xf numFmtId="164" fontId="0" fillId="0" borderId="14" xfId="0" applyNumberFormat="1" applyBorder="1"/>
    <xf numFmtId="164" fontId="0" fillId="0" borderId="0" xfId="0" applyNumberFormat="1" applyFill="1" applyBorder="1" applyAlignment="1">
      <alignment horizontal="center" vertical="center"/>
    </xf>
    <xf numFmtId="164" fontId="0" fillId="0" borderId="0" xfId="0" applyNumberFormat="1" applyBorder="1"/>
    <xf numFmtId="0" fontId="10" fillId="0" borderId="14" xfId="0" applyFont="1" applyBorder="1" applyAlignment="1" applyProtection="1">
      <alignment horizontal="center" vertical="center"/>
      <protection locked="0"/>
    </xf>
    <xf numFmtId="0" fontId="9" fillId="0" borderId="0" xfId="0" applyFont="1" applyBorder="1" applyAlignment="1">
      <alignment horizontal="right" vertical="center"/>
    </xf>
    <xf numFmtId="0" fontId="10" fillId="0" borderId="0" xfId="0" applyFont="1" applyBorder="1" applyAlignment="1">
      <alignment horizontal="right" vertical="center"/>
    </xf>
    <xf numFmtId="49" fontId="10" fillId="0" borderId="0" xfId="0" applyNumberFormat="1" applyFont="1" applyBorder="1" applyAlignment="1">
      <alignment horizontal="right" vertical="center"/>
    </xf>
    <xf numFmtId="0" fontId="10" fillId="0" borderId="0" xfId="0" applyFont="1" applyBorder="1" applyAlignment="1">
      <alignment horizontal="left" vertical="center"/>
    </xf>
    <xf numFmtId="49" fontId="10" fillId="0" borderId="0" xfId="0" applyNumberFormat="1" applyFont="1" applyBorder="1" applyAlignment="1">
      <alignment horizontal="left" vertical="center"/>
    </xf>
    <xf numFmtId="0" fontId="9" fillId="0" borderId="0" xfId="0" applyFont="1" applyBorder="1" applyAlignment="1">
      <alignment horizontal="left" vertical="center"/>
    </xf>
    <xf numFmtId="0" fontId="10" fillId="0" borderId="0" xfId="0" applyFont="1" applyBorder="1" applyAlignment="1">
      <alignment vertical="center"/>
    </xf>
    <xf numFmtId="49" fontId="10" fillId="0" borderId="0" xfId="0" applyNumberFormat="1" applyFont="1" applyBorder="1" applyAlignment="1">
      <alignment vertical="center"/>
    </xf>
    <xf numFmtId="0" fontId="9" fillId="0" borderId="15" xfId="0" applyFont="1" applyFill="1" applyBorder="1" applyAlignment="1">
      <alignment vertical="center"/>
    </xf>
    <xf numFmtId="0" fontId="9" fillId="0" borderId="16" xfId="0" applyFont="1" applyFill="1" applyBorder="1" applyAlignment="1">
      <alignment horizontal="left" vertical="center"/>
    </xf>
    <xf numFmtId="0" fontId="9" fillId="0" borderId="17" xfId="0" applyFont="1" applyFill="1" applyBorder="1" applyAlignment="1">
      <alignment horizontal="left" vertical="center"/>
    </xf>
    <xf numFmtId="0" fontId="10" fillId="0" borderId="18" xfId="0" applyFont="1" applyFill="1" applyBorder="1" applyAlignment="1" applyProtection="1">
      <alignment horizontal="right" vertical="center"/>
      <protection locked="0"/>
    </xf>
    <xf numFmtId="0" fontId="10" fillId="0" borderId="16" xfId="0" applyFont="1" applyFill="1" applyBorder="1" applyAlignment="1" applyProtection="1">
      <alignment horizontal="right" vertical="center"/>
      <protection locked="0"/>
    </xf>
    <xf numFmtId="0" fontId="9" fillId="0" borderId="19" xfId="0" applyFont="1" applyFill="1" applyBorder="1" applyAlignment="1">
      <alignment horizontal="left" vertical="center"/>
    </xf>
    <xf numFmtId="0" fontId="9" fillId="0" borderId="18" xfId="0" applyFont="1" applyFill="1" applyBorder="1" applyAlignment="1">
      <alignment horizontal="left" vertical="center"/>
    </xf>
    <xf numFmtId="0" fontId="10" fillId="0" borderId="20"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0" fillId="0" borderId="0" xfId="0" applyFont="1" applyBorder="1" applyAlignment="1">
      <alignment horizontal="center" vertical="center"/>
    </xf>
    <xf numFmtId="0" fontId="10" fillId="0" borderId="23" xfId="0" applyFont="1" applyBorder="1" applyAlignment="1" applyProtection="1">
      <alignment horizontal="center" vertical="center"/>
      <protection locked="0"/>
    </xf>
    <xf numFmtId="49" fontId="10" fillId="0" borderId="24" xfId="0" applyNumberFormat="1" applyFont="1" applyBorder="1" applyAlignment="1" applyProtection="1">
      <alignment horizontal="center" vertical="center"/>
      <protection locked="0"/>
    </xf>
    <xf numFmtId="0" fontId="10" fillId="0" borderId="15" xfId="0" applyFont="1" applyFill="1" applyBorder="1" applyAlignment="1" applyProtection="1">
      <alignment horizontal="right" vertical="center"/>
      <protection locked="0"/>
    </xf>
    <xf numFmtId="164" fontId="10" fillId="0" borderId="24" xfId="0" applyNumberFormat="1" applyFont="1" applyBorder="1" applyAlignment="1" applyProtection="1">
      <alignment horizontal="center" vertical="center"/>
      <protection locked="0"/>
    </xf>
    <xf numFmtId="164" fontId="10" fillId="0" borderId="22" xfId="0" applyNumberFormat="1" applyFont="1" applyBorder="1" applyAlignment="1" applyProtection="1">
      <alignment horizontal="center" vertical="center"/>
      <protection locked="0"/>
    </xf>
    <xf numFmtId="164" fontId="10" fillId="0" borderId="25" xfId="0" applyNumberFormat="1" applyFont="1" applyBorder="1" applyAlignment="1" applyProtection="1">
      <alignment horizontal="center" vertical="center"/>
      <protection locked="0"/>
    </xf>
    <xf numFmtId="164" fontId="10" fillId="0" borderId="26" xfId="0" applyNumberFormat="1" applyFont="1" applyBorder="1" applyAlignment="1" applyProtection="1">
      <alignment horizontal="center" vertical="center"/>
      <protection locked="0"/>
    </xf>
    <xf numFmtId="164" fontId="10" fillId="0" borderId="27" xfId="0" applyNumberFormat="1" applyFont="1" applyBorder="1" applyAlignment="1" applyProtection="1">
      <alignment horizontal="center" vertical="center"/>
      <protection locked="0"/>
    </xf>
    <xf numFmtId="2" fontId="0" fillId="3" borderId="0" xfId="0" applyNumberFormat="1" applyFill="1" applyAlignment="1" applyProtection="1">
      <alignment vertical="center"/>
    </xf>
    <xf numFmtId="1" fontId="0" fillId="3" borderId="0" xfId="0" applyNumberFormat="1" applyFill="1" applyAlignment="1" applyProtection="1">
      <alignment vertical="center"/>
    </xf>
    <xf numFmtId="164" fontId="0" fillId="3" borderId="0" xfId="0" applyNumberFormat="1" applyFill="1" applyAlignment="1" applyProtection="1">
      <alignment vertical="center"/>
    </xf>
    <xf numFmtId="1" fontId="0" fillId="3" borderId="0" xfId="0" applyNumberFormat="1" applyFill="1" applyAlignment="1" applyProtection="1">
      <alignment horizontal="right" vertical="center"/>
    </xf>
    <xf numFmtId="0" fontId="0" fillId="3" borderId="0" xfId="0" applyFill="1" applyAlignment="1" applyProtection="1">
      <alignment vertical="center"/>
    </xf>
    <xf numFmtId="0" fontId="0" fillId="0" borderId="0" xfId="0" applyProtection="1"/>
    <xf numFmtId="2" fontId="5" fillId="3" borderId="0" xfId="0" applyNumberFormat="1" applyFont="1" applyFill="1" applyAlignment="1" applyProtection="1">
      <alignment vertical="center"/>
    </xf>
    <xf numFmtId="164" fontId="0" fillId="6" borderId="0" xfId="0" applyNumberFormat="1" applyFill="1" applyProtection="1">
      <protection locked="0"/>
    </xf>
    <xf numFmtId="164" fontId="0" fillId="6" borderId="0" xfId="0" applyNumberFormat="1" applyFill="1" applyAlignment="1" applyProtection="1">
      <alignment horizontal="center" vertical="center"/>
      <protection locked="0"/>
    </xf>
    <xf numFmtId="1" fontId="10" fillId="6" borderId="0" xfId="0" applyNumberFormat="1" applyFont="1" applyFill="1" applyProtection="1">
      <protection locked="0"/>
    </xf>
    <xf numFmtId="49" fontId="10" fillId="0" borderId="10" xfId="0" applyNumberFormat="1" applyFont="1" applyBorder="1" applyAlignment="1" applyProtection="1">
      <alignment vertical="center"/>
      <protection locked="0"/>
    </xf>
    <xf numFmtId="49" fontId="10" fillId="0" borderId="11" xfId="0" applyNumberFormat="1" applyFont="1" applyBorder="1" applyAlignment="1" applyProtection="1">
      <alignment vertical="center"/>
      <protection locked="0"/>
    </xf>
    <xf numFmtId="49" fontId="11" fillId="0" borderId="11" xfId="0" applyNumberFormat="1" applyFont="1" applyBorder="1" applyAlignment="1" applyProtection="1">
      <alignment horizontal="right" vertical="center"/>
      <protection locked="0"/>
    </xf>
    <xf numFmtId="49" fontId="17" fillId="0" borderId="11" xfId="0" applyNumberFormat="1" applyFont="1" applyBorder="1" applyAlignment="1" applyProtection="1">
      <alignment horizontal="right" vertical="center"/>
      <protection locked="0"/>
    </xf>
    <xf numFmtId="49" fontId="20" fillId="0" borderId="11" xfId="0" applyNumberFormat="1" applyFont="1" applyBorder="1" applyAlignment="1" applyProtection="1">
      <alignment horizontal="right" vertical="center"/>
      <protection locked="0"/>
    </xf>
    <xf numFmtId="49" fontId="17" fillId="0" borderId="10" xfId="0" applyNumberFormat="1" applyFont="1" applyBorder="1" applyAlignment="1" applyProtection="1">
      <alignment horizontal="left" vertical="center"/>
      <protection locked="0"/>
    </xf>
    <xf numFmtId="49" fontId="11" fillId="0" borderId="10" xfId="0" applyNumberFormat="1" applyFont="1" applyBorder="1" applyAlignment="1" applyProtection="1">
      <alignment horizontal="left" vertical="center"/>
      <protection locked="0"/>
    </xf>
    <xf numFmtId="49" fontId="0" fillId="0" borderId="12" xfId="0" applyNumberFormat="1" applyBorder="1" applyAlignment="1">
      <alignment horizontal="left" vertical="center"/>
    </xf>
    <xf numFmtId="49" fontId="0" fillId="2" borderId="12" xfId="0" applyNumberFormat="1" applyFill="1" applyBorder="1" applyAlignment="1">
      <alignment horizontal="left" vertical="center"/>
    </xf>
    <xf numFmtId="49" fontId="4" fillId="0" borderId="12" xfId="0" applyNumberFormat="1" applyFont="1" applyBorder="1" applyAlignment="1">
      <alignment horizontal="left" vertical="center"/>
    </xf>
    <xf numFmtId="49" fontId="3" fillId="0" borderId="10" xfId="0" applyNumberFormat="1" applyFont="1" applyBorder="1" applyAlignment="1">
      <alignment horizontal="left" vertical="center"/>
    </xf>
    <xf numFmtId="49" fontId="2" fillId="0" borderId="11" xfId="0" applyNumberFormat="1" applyFont="1" applyBorder="1" applyAlignment="1">
      <alignment horizontal="left" vertical="center"/>
    </xf>
    <xf numFmtId="49" fontId="3" fillId="0" borderId="1" xfId="0" applyNumberFormat="1" applyFont="1" applyBorder="1" applyAlignment="1">
      <alignment horizontal="left" vertical="center"/>
    </xf>
    <xf numFmtId="49" fontId="2" fillId="0" borderId="4" xfId="0" applyNumberFormat="1" applyFont="1" applyBorder="1" applyAlignment="1">
      <alignment horizontal="left" vertical="center"/>
    </xf>
    <xf numFmtId="49" fontId="3" fillId="0" borderId="11" xfId="0" applyNumberFormat="1" applyFont="1" applyBorder="1" applyAlignment="1">
      <alignment horizontal="left" vertical="center"/>
    </xf>
    <xf numFmtId="49" fontId="0" fillId="0" borderId="11" xfId="0" applyNumberFormat="1" applyBorder="1"/>
    <xf numFmtId="49" fontId="1" fillId="2" borderId="12" xfId="0" applyNumberFormat="1" applyFont="1" applyFill="1" applyBorder="1" applyAlignment="1">
      <alignment vertical="center"/>
    </xf>
    <xf numFmtId="49" fontId="0" fillId="2" borderId="12" xfId="0" applyNumberFormat="1" applyFill="1" applyBorder="1"/>
    <xf numFmtId="49" fontId="12" fillId="0" borderId="10" xfId="0" applyNumberFormat="1" applyFont="1" applyBorder="1" applyAlignment="1" applyProtection="1">
      <alignment vertical="center"/>
    </xf>
    <xf numFmtId="49" fontId="12" fillId="0" borderId="12" xfId="0" applyNumberFormat="1" applyFont="1" applyBorder="1" applyAlignment="1" applyProtection="1">
      <alignment vertical="center"/>
      <protection locked="0"/>
    </xf>
    <xf numFmtId="49" fontId="12" fillId="0" borderId="11" xfId="0" applyNumberFormat="1" applyFont="1" applyBorder="1" applyAlignment="1" applyProtection="1">
      <alignment vertical="center"/>
      <protection locked="0"/>
    </xf>
    <xf numFmtId="49" fontId="3" fillId="0" borderId="14" xfId="0" applyNumberFormat="1" applyFont="1" applyBorder="1" applyAlignment="1" applyProtection="1">
      <alignment horizontal="center" vertical="center"/>
      <protection locked="0"/>
    </xf>
    <xf numFmtId="49" fontId="3" fillId="0" borderId="14" xfId="0" applyNumberFormat="1" applyFont="1" applyBorder="1" applyAlignment="1">
      <alignment horizontal="center" vertical="center"/>
    </xf>
    <xf numFmtId="1" fontId="0" fillId="8" borderId="0" xfId="0" applyNumberFormat="1" applyFill="1" applyAlignment="1">
      <alignment horizontal="center" vertical="center"/>
    </xf>
    <xf numFmtId="164" fontId="0" fillId="8" borderId="0" xfId="0" applyNumberFormat="1" applyFill="1" applyAlignment="1">
      <alignment horizontal="center" vertical="center"/>
    </xf>
    <xf numFmtId="164" fontId="0" fillId="4" borderId="14" xfId="0" applyNumberFormat="1" applyFill="1" applyBorder="1" applyAlignment="1">
      <alignment horizontal="center" vertical="center"/>
    </xf>
    <xf numFmtId="164" fontId="8" fillId="0" borderId="0" xfId="0" applyNumberFormat="1" applyFont="1"/>
    <xf numFmtId="164" fontId="8" fillId="4" borderId="0" xfId="0" applyNumberFormat="1" applyFont="1" applyFill="1" applyBorder="1" applyAlignment="1" applyProtection="1">
      <alignment horizontal="center" vertical="center"/>
    </xf>
    <xf numFmtId="0" fontId="5" fillId="0" borderId="28" xfId="0" applyFont="1" applyBorder="1" applyAlignment="1">
      <alignment horizontal="left" vertical="center"/>
    </xf>
    <xf numFmtId="164" fontId="5" fillId="0" borderId="29" xfId="0" applyNumberFormat="1" applyFont="1" applyBorder="1" applyAlignment="1">
      <alignment horizontal="center" vertical="center"/>
    </xf>
    <xf numFmtId="0" fontId="5" fillId="0" borderId="30" xfId="0" applyFont="1" applyBorder="1" applyAlignment="1">
      <alignment horizontal="left" vertical="center"/>
    </xf>
    <xf numFmtId="164" fontId="8" fillId="4" borderId="31" xfId="0" applyNumberFormat="1" applyFont="1" applyFill="1" applyBorder="1" applyAlignment="1">
      <alignment horizontal="center" vertical="center"/>
    </xf>
    <xf numFmtId="0" fontId="5" fillId="0" borderId="32" xfId="0" applyFont="1" applyBorder="1" applyAlignment="1">
      <alignment horizontal="left" vertical="center"/>
    </xf>
    <xf numFmtId="164" fontId="8" fillId="8" borderId="0" xfId="0" applyNumberFormat="1" applyFont="1" applyFill="1" applyBorder="1" applyAlignment="1">
      <alignment horizontal="center" vertical="center"/>
    </xf>
    <xf numFmtId="164" fontId="8" fillId="4" borderId="33" xfId="0" applyNumberFormat="1" applyFont="1" applyFill="1" applyBorder="1" applyAlignment="1">
      <alignment horizontal="center" vertical="center"/>
    </xf>
    <xf numFmtId="164" fontId="8" fillId="8" borderId="0" xfId="0" applyNumberFormat="1" applyFont="1" applyFill="1" applyBorder="1" applyAlignment="1" applyProtection="1">
      <alignment horizontal="center" vertical="center"/>
    </xf>
    <xf numFmtId="164" fontId="8" fillId="4" borderId="0" xfId="0" applyNumberFormat="1" applyFont="1" applyFill="1" applyBorder="1" applyAlignment="1">
      <alignment horizontal="center" vertical="center"/>
    </xf>
    <xf numFmtId="164" fontId="8" fillId="0" borderId="31" xfId="0" applyNumberFormat="1" applyFont="1" applyBorder="1" applyAlignment="1">
      <alignment horizontal="center" vertical="center"/>
    </xf>
    <xf numFmtId="164" fontId="8" fillId="0" borderId="34" xfId="0" applyNumberFormat="1" applyFont="1" applyBorder="1" applyAlignment="1">
      <alignment horizontal="center" vertical="center"/>
    </xf>
    <xf numFmtId="164" fontId="8" fillId="0" borderId="11" xfId="0" applyNumberFormat="1" applyFont="1" applyBorder="1" applyAlignment="1" applyProtection="1">
      <alignment horizontal="center" vertical="center"/>
      <protection locked="0"/>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164" fontId="5" fillId="0" borderId="38" xfId="0" applyNumberFormat="1" applyFont="1" applyBorder="1" applyAlignment="1">
      <alignment horizontal="center" vertical="center"/>
    </xf>
    <xf numFmtId="164" fontId="5" fillId="0" borderId="39" xfId="0" applyNumberFormat="1" applyFont="1" applyBorder="1" applyAlignment="1">
      <alignment horizontal="center" vertical="center"/>
    </xf>
    <xf numFmtId="164" fontId="5" fillId="0" borderId="40" xfId="0" applyNumberFormat="1" applyFont="1" applyBorder="1" applyAlignment="1">
      <alignment horizontal="center" vertical="center"/>
    </xf>
    <xf numFmtId="0" fontId="5" fillId="0" borderId="0" xfId="0" applyFont="1" applyBorder="1" applyAlignment="1">
      <alignment horizontal="left" vertical="center"/>
    </xf>
    <xf numFmtId="0" fontId="5" fillId="0" borderId="38" xfId="0" applyFont="1" applyBorder="1" applyAlignment="1">
      <alignment horizontal="left" vertical="center"/>
    </xf>
    <xf numFmtId="164" fontId="8" fillId="4" borderId="27" xfId="0" applyNumberFormat="1" applyFont="1" applyFill="1" applyBorder="1" applyAlignment="1">
      <alignment horizontal="center" vertical="center"/>
    </xf>
    <xf numFmtId="164" fontId="8" fillId="0" borderId="42" xfId="0" applyNumberFormat="1" applyFont="1" applyBorder="1" applyAlignment="1" applyProtection="1">
      <alignment horizontal="center" vertical="center"/>
      <protection locked="0"/>
    </xf>
    <xf numFmtId="164" fontId="8" fillId="4" borderId="43" xfId="0" applyNumberFormat="1" applyFont="1" applyFill="1" applyBorder="1" applyAlignment="1">
      <alignment horizontal="center" vertical="center"/>
    </xf>
    <xf numFmtId="164" fontId="8" fillId="8" borderId="43" xfId="0" applyNumberFormat="1" applyFont="1" applyFill="1" applyBorder="1" applyAlignment="1" applyProtection="1">
      <alignment horizontal="center" vertical="center"/>
      <protection locked="0"/>
    </xf>
    <xf numFmtId="164" fontId="8" fillId="8" borderId="44" xfId="0" applyNumberFormat="1" applyFont="1" applyFill="1" applyBorder="1" applyAlignment="1">
      <alignment horizontal="center" vertical="center"/>
    </xf>
    <xf numFmtId="164" fontId="5" fillId="0" borderId="45" xfId="0" applyNumberFormat="1" applyFont="1" applyBorder="1" applyAlignment="1">
      <alignment horizontal="center" vertical="center"/>
    </xf>
    <xf numFmtId="164" fontId="5" fillId="0" borderId="46" xfId="0" applyNumberFormat="1" applyFont="1" applyBorder="1" applyAlignment="1">
      <alignment horizontal="center" vertical="center"/>
    </xf>
    <xf numFmtId="164" fontId="5" fillId="0" borderId="47" xfId="0" applyNumberFormat="1" applyFont="1" applyBorder="1" applyAlignment="1">
      <alignment horizontal="center" vertical="center"/>
    </xf>
    <xf numFmtId="164" fontId="8" fillId="0" borderId="42" xfId="0" applyNumberFormat="1" applyFont="1" applyBorder="1" applyAlignment="1">
      <alignment horizontal="center" vertical="center"/>
    </xf>
    <xf numFmtId="164" fontId="8" fillId="4" borderId="44" xfId="0" applyNumberFormat="1" applyFont="1" applyFill="1" applyBorder="1" applyAlignment="1">
      <alignment horizontal="center" vertical="center"/>
    </xf>
    <xf numFmtId="0" fontId="8" fillId="0" borderId="33" xfId="0" applyFont="1" applyBorder="1"/>
    <xf numFmtId="164" fontId="8" fillId="0" borderId="32" xfId="0" applyNumberFormat="1" applyFont="1" applyBorder="1"/>
    <xf numFmtId="164" fontId="8" fillId="0" borderId="30" xfId="0" applyNumberFormat="1" applyFont="1" applyBorder="1"/>
    <xf numFmtId="0" fontId="8" fillId="0" borderId="34" xfId="0" applyFont="1" applyBorder="1"/>
    <xf numFmtId="0" fontId="5" fillId="0" borderId="38" xfId="0" applyFont="1" applyBorder="1" applyAlignment="1">
      <alignment horizontal="right"/>
    </xf>
    <xf numFmtId="0" fontId="5" fillId="0" borderId="48" xfId="0" applyFont="1" applyBorder="1" applyAlignment="1">
      <alignment horizontal="right"/>
    </xf>
    <xf numFmtId="164" fontId="8" fillId="0" borderId="33" xfId="0" applyNumberFormat="1" applyFont="1" applyBorder="1"/>
    <xf numFmtId="164" fontId="8" fillId="0" borderId="34" xfId="0" applyNumberFormat="1" applyFont="1" applyBorder="1"/>
    <xf numFmtId="0" fontId="5" fillId="0" borderId="30" xfId="0" applyFont="1" applyBorder="1" applyAlignment="1">
      <alignment horizontal="right"/>
    </xf>
    <xf numFmtId="0" fontId="5" fillId="0" borderId="37" xfId="0" applyFont="1" applyBorder="1" applyAlignment="1">
      <alignment horizontal="right"/>
    </xf>
    <xf numFmtId="0" fontId="5" fillId="0" borderId="38" xfId="0" applyFont="1" applyBorder="1"/>
    <xf numFmtId="0" fontId="5" fillId="0" borderId="39" xfId="0" applyFont="1" applyBorder="1"/>
    <xf numFmtId="0" fontId="5" fillId="0" borderId="40" xfId="0" applyFont="1" applyBorder="1"/>
    <xf numFmtId="164" fontId="8" fillId="8" borderId="48" xfId="0" applyNumberFormat="1" applyFont="1" applyFill="1" applyBorder="1" applyAlignment="1">
      <alignment horizontal="center" vertical="center"/>
    </xf>
    <xf numFmtId="0" fontId="8" fillId="0" borderId="29" xfId="0" applyFont="1" applyBorder="1"/>
    <xf numFmtId="164" fontId="8" fillId="8" borderId="14" xfId="0" applyNumberFormat="1" applyFont="1" applyFill="1" applyBorder="1" applyAlignment="1" applyProtection="1">
      <alignment horizontal="center" vertical="center"/>
    </xf>
    <xf numFmtId="164" fontId="5" fillId="0" borderId="48" xfId="0" applyNumberFormat="1" applyFont="1" applyBorder="1" applyAlignment="1">
      <alignment horizontal="center" vertical="center"/>
    </xf>
    <xf numFmtId="164" fontId="8" fillId="4" borderId="25" xfId="0" applyNumberFormat="1" applyFont="1" applyFill="1" applyBorder="1" applyAlignment="1">
      <alignment horizontal="center" vertical="center"/>
    </xf>
    <xf numFmtId="164" fontId="5" fillId="0" borderId="35" xfId="0" applyNumberFormat="1" applyFont="1" applyBorder="1" applyAlignment="1">
      <alignment horizontal="center" vertical="center"/>
    </xf>
    <xf numFmtId="164" fontId="8" fillId="4" borderId="50" xfId="0" applyNumberFormat="1" applyFont="1" applyFill="1" applyBorder="1" applyAlignment="1" applyProtection="1">
      <alignment horizontal="center" vertical="center"/>
    </xf>
    <xf numFmtId="164" fontId="8" fillId="8" borderId="44" xfId="0" applyNumberFormat="1" applyFont="1" applyFill="1" applyBorder="1" applyAlignment="1" applyProtection="1">
      <alignment horizontal="center" vertical="center"/>
      <protection locked="0"/>
    </xf>
    <xf numFmtId="164" fontId="8" fillId="8" borderId="49" xfId="0" applyNumberFormat="1" applyFont="1" applyFill="1" applyBorder="1" applyAlignment="1" applyProtection="1">
      <alignment horizontal="center" vertical="center"/>
    </xf>
    <xf numFmtId="164" fontId="8" fillId="8" borderId="24" xfId="0" applyNumberFormat="1" applyFont="1" applyFill="1" applyBorder="1" applyAlignment="1" applyProtection="1">
      <alignment horizontal="center" vertical="center"/>
    </xf>
    <xf numFmtId="164" fontId="8" fillId="4" borderId="25" xfId="0" applyNumberFormat="1" applyFont="1" applyFill="1" applyBorder="1" applyAlignment="1" applyProtection="1">
      <alignment horizontal="center" vertical="center"/>
    </xf>
    <xf numFmtId="164" fontId="8" fillId="4" borderId="26" xfId="0" applyNumberFormat="1" applyFont="1" applyFill="1" applyBorder="1" applyAlignment="1" applyProtection="1">
      <alignment horizontal="center" vertical="center"/>
    </xf>
    <xf numFmtId="164" fontId="8" fillId="4" borderId="41" xfId="0" applyNumberFormat="1" applyFont="1" applyFill="1" applyBorder="1" applyAlignment="1" applyProtection="1">
      <alignment horizontal="center" vertical="center"/>
    </xf>
    <xf numFmtId="164" fontId="8" fillId="0" borderId="31" xfId="0" applyNumberFormat="1" applyFont="1" applyBorder="1" applyAlignment="1" applyProtection="1">
      <alignment horizontal="center" vertical="center"/>
    </xf>
    <xf numFmtId="164" fontId="8" fillId="0" borderId="34" xfId="0" applyNumberFormat="1" applyFont="1" applyBorder="1" applyAlignment="1" applyProtection="1">
      <alignment horizontal="center" vertical="center"/>
    </xf>
    <xf numFmtId="164" fontId="8" fillId="8" borderId="32" xfId="0" applyNumberFormat="1" applyFont="1" applyFill="1" applyBorder="1"/>
    <xf numFmtId="164" fontId="8" fillId="8" borderId="33" xfId="0" applyNumberFormat="1" applyFont="1" applyFill="1" applyBorder="1"/>
    <xf numFmtId="164" fontId="8" fillId="8" borderId="30" xfId="0" applyNumberFormat="1" applyFont="1" applyFill="1" applyBorder="1"/>
    <xf numFmtId="164" fontId="8" fillId="8" borderId="34" xfId="0" applyNumberFormat="1" applyFont="1" applyFill="1" applyBorder="1"/>
    <xf numFmtId="164" fontId="8" fillId="0" borderId="51" xfId="0" applyNumberFormat="1" applyFont="1" applyBorder="1" applyAlignment="1" applyProtection="1">
      <alignment horizontal="center" vertical="center"/>
      <protection locked="0"/>
    </xf>
    <xf numFmtId="164" fontId="8" fillId="8" borderId="6" xfId="0" applyNumberFormat="1" applyFont="1" applyFill="1" applyBorder="1" applyAlignment="1" applyProtection="1">
      <alignment horizontal="center" vertical="center"/>
    </xf>
    <xf numFmtId="164" fontId="8" fillId="4" borderId="52" xfId="0" applyNumberFormat="1" applyFont="1" applyFill="1" applyBorder="1" applyAlignment="1" applyProtection="1">
      <alignment horizontal="center" vertical="center"/>
    </xf>
    <xf numFmtId="164" fontId="8" fillId="4" borderId="53" xfId="0" applyNumberFormat="1" applyFont="1" applyFill="1" applyBorder="1" applyAlignment="1" applyProtection="1">
      <alignment horizontal="center" vertical="center"/>
    </xf>
    <xf numFmtId="164" fontId="8" fillId="4" borderId="5" xfId="0" applyNumberFormat="1" applyFont="1" applyFill="1" applyBorder="1" applyAlignment="1" applyProtection="1">
      <alignment horizontal="center" vertical="center"/>
    </xf>
    <xf numFmtId="164" fontId="8" fillId="4" borderId="54" xfId="0" applyNumberFormat="1" applyFont="1" applyFill="1" applyBorder="1" applyAlignment="1" applyProtection="1">
      <alignment horizontal="center" vertical="center"/>
    </xf>
    <xf numFmtId="164" fontId="8" fillId="4" borderId="55" xfId="0" applyNumberFormat="1" applyFont="1" applyFill="1" applyBorder="1" applyAlignment="1" applyProtection="1">
      <alignment horizontal="center" vertical="center"/>
    </xf>
    <xf numFmtId="164" fontId="8" fillId="4" borderId="24" xfId="0" applyNumberFormat="1" applyFont="1" applyFill="1" applyBorder="1" applyAlignment="1" applyProtection="1">
      <alignment horizontal="center" vertical="center"/>
    </xf>
    <xf numFmtId="164" fontId="8" fillId="8" borderId="21" xfId="0" applyNumberFormat="1" applyFont="1" applyFill="1" applyBorder="1" applyAlignment="1" applyProtection="1">
      <alignment horizontal="center" vertical="center"/>
    </xf>
    <xf numFmtId="164" fontId="8" fillId="4" borderId="27" xfId="0" applyNumberFormat="1" applyFont="1" applyFill="1" applyBorder="1" applyAlignment="1" applyProtection="1">
      <alignment horizontal="center" vertical="center"/>
    </xf>
    <xf numFmtId="164" fontId="8" fillId="0" borderId="0" xfId="0" applyNumberFormat="1" applyFont="1" applyFill="1" applyBorder="1" applyAlignment="1">
      <alignment horizontal="center" vertical="center"/>
    </xf>
    <xf numFmtId="0" fontId="5" fillId="0" borderId="62" xfId="0" applyFont="1" applyBorder="1" applyAlignment="1">
      <alignment vertical="center"/>
    </xf>
    <xf numFmtId="0" fontId="10" fillId="0" borderId="63" xfId="0" applyFont="1" applyBorder="1" applyAlignment="1">
      <alignment horizontal="center" vertical="center"/>
    </xf>
    <xf numFmtId="0" fontId="10" fillId="0" borderId="63" xfId="0" applyFont="1" applyBorder="1" applyAlignment="1" applyProtection="1">
      <alignment horizontal="center" vertical="center"/>
      <protection locked="0"/>
    </xf>
    <xf numFmtId="0" fontId="5" fillId="0" borderId="64" xfId="0" applyFont="1" applyBorder="1" applyAlignment="1">
      <alignment vertical="center"/>
    </xf>
    <xf numFmtId="0" fontId="10" fillId="0" borderId="65" xfId="0" applyFont="1" applyBorder="1" applyAlignment="1" applyProtection="1">
      <alignment horizontal="center" vertical="center"/>
      <protection locked="0"/>
    </xf>
    <xf numFmtId="0" fontId="5" fillId="0" borderId="63" xfId="0" applyFont="1" applyBorder="1" applyAlignment="1">
      <alignment vertical="center"/>
    </xf>
    <xf numFmtId="0" fontId="5" fillId="0" borderId="66" xfId="0" applyFont="1" applyBorder="1" applyAlignment="1" applyProtection="1">
      <alignment horizontal="left" vertical="center"/>
      <protection locked="0"/>
    </xf>
    <xf numFmtId="1" fontId="9" fillId="3" borderId="67" xfId="0" applyNumberFormat="1" applyFont="1" applyFill="1" applyBorder="1" applyAlignment="1" applyProtection="1">
      <alignment horizontal="center" vertical="center"/>
      <protection locked="0"/>
    </xf>
    <xf numFmtId="0" fontId="9" fillId="3" borderId="69" xfId="0" applyFont="1" applyFill="1" applyBorder="1" applyAlignment="1" applyProtection="1">
      <alignment horizontal="center" vertical="center"/>
      <protection locked="0"/>
    </xf>
    <xf numFmtId="0" fontId="9" fillId="3" borderId="71" xfId="0" applyFont="1" applyFill="1" applyBorder="1" applyAlignment="1" applyProtection="1">
      <alignment horizontal="center" vertical="center"/>
      <protection locked="0"/>
    </xf>
    <xf numFmtId="164" fontId="0" fillId="0" borderId="0" xfId="0" applyNumberFormat="1" applyAlignment="1">
      <alignment horizontal="center"/>
    </xf>
    <xf numFmtId="0" fontId="25" fillId="0" borderId="0" xfId="1" applyAlignment="1" applyProtection="1"/>
    <xf numFmtId="0" fontId="24" fillId="0" borderId="0" xfId="0" applyFont="1"/>
    <xf numFmtId="1" fontId="0" fillId="9" borderId="14" xfId="0" applyNumberFormat="1" applyFill="1" applyBorder="1" applyAlignment="1">
      <alignment horizontal="center" vertical="center"/>
    </xf>
    <xf numFmtId="164" fontId="0" fillId="9" borderId="14" xfId="0" applyNumberFormat="1" applyFill="1" applyBorder="1" applyAlignment="1">
      <alignment horizontal="center" vertical="center"/>
    </xf>
    <xf numFmtId="1" fontId="0" fillId="5" borderId="8" xfId="0" applyNumberFormat="1" applyFill="1" applyBorder="1" applyAlignment="1">
      <alignment horizontal="center" vertical="center"/>
    </xf>
    <xf numFmtId="164" fontId="0" fillId="5" borderId="6" xfId="0" applyNumberFormat="1" applyFill="1" applyBorder="1" applyAlignment="1">
      <alignment horizontal="center" vertical="center"/>
    </xf>
    <xf numFmtId="1" fontId="0" fillId="5" borderId="2" xfId="0" applyNumberFormat="1" applyFill="1" applyBorder="1" applyAlignment="1">
      <alignment horizontal="center" vertical="center"/>
    </xf>
    <xf numFmtId="164" fontId="0" fillId="5" borderId="7" xfId="0" applyNumberFormat="1" applyFill="1" applyBorder="1" applyAlignment="1">
      <alignment horizontal="center" vertical="center"/>
    </xf>
    <xf numFmtId="1" fontId="0" fillId="9" borderId="6" xfId="0" applyNumberFormat="1" applyFill="1" applyBorder="1" applyProtection="1"/>
    <xf numFmtId="164" fontId="0" fillId="9" borderId="4" xfId="0" applyNumberFormat="1" applyFill="1" applyBorder="1" applyProtection="1"/>
    <xf numFmtId="1" fontId="0" fillId="9" borderId="7" xfId="0" applyNumberFormat="1" applyFill="1" applyBorder="1" applyProtection="1"/>
    <xf numFmtId="166" fontId="0" fillId="10" borderId="0" xfId="0" applyNumberFormat="1" applyFill="1"/>
    <xf numFmtId="1" fontId="0" fillId="10" borderId="0" xfId="0" applyNumberFormat="1" applyFill="1"/>
    <xf numFmtId="164" fontId="0" fillId="10" borderId="0" xfId="0" applyNumberFormat="1" applyFill="1" applyAlignment="1" applyProtection="1">
      <alignment horizontal="center" vertical="center"/>
    </xf>
    <xf numFmtId="2" fontId="0" fillId="10" borderId="0" xfId="0" applyNumberFormat="1" applyFill="1"/>
    <xf numFmtId="166" fontId="0" fillId="9" borderId="5" xfId="0" applyNumberFormat="1" applyFill="1" applyBorder="1" applyProtection="1"/>
    <xf numFmtId="164" fontId="8" fillId="0" borderId="41" xfId="0" applyNumberFormat="1" applyFont="1" applyBorder="1" applyAlignment="1" applyProtection="1">
      <alignment horizontal="center" vertical="center"/>
      <protection locked="0"/>
    </xf>
    <xf numFmtId="164" fontId="8" fillId="0" borderId="24" xfId="0" applyNumberFormat="1" applyFont="1" applyBorder="1" applyAlignment="1" applyProtection="1">
      <alignment horizontal="center" vertical="center"/>
      <protection locked="0"/>
    </xf>
    <xf numFmtId="164" fontId="8" fillId="0" borderId="22" xfId="0" applyNumberFormat="1" applyFont="1" applyBorder="1" applyAlignment="1" applyProtection="1">
      <alignment horizontal="center" vertical="center"/>
      <protection locked="0"/>
    </xf>
    <xf numFmtId="164" fontId="8" fillId="0" borderId="49" xfId="0" applyNumberFormat="1" applyFont="1" applyBorder="1" applyAlignment="1" applyProtection="1">
      <alignment horizontal="center" vertical="center"/>
      <protection locked="0"/>
    </xf>
    <xf numFmtId="1" fontId="4" fillId="0" borderId="7" xfId="0" applyNumberFormat="1" applyFont="1" applyBorder="1" applyAlignment="1" applyProtection="1">
      <alignment horizontal="center" vertical="center"/>
    </xf>
    <xf numFmtId="0" fontId="5" fillId="0" borderId="10" xfId="0" applyFont="1" applyBorder="1" applyAlignment="1">
      <alignment horizontal="center" vertical="center"/>
    </xf>
    <xf numFmtId="0" fontId="10" fillId="2" borderId="1" xfId="0" applyFont="1" applyFill="1" applyBorder="1"/>
    <xf numFmtId="0" fontId="5" fillId="0" borderId="72" xfId="0" applyFont="1" applyBorder="1" applyAlignment="1">
      <alignment horizontal="center" vertical="center"/>
    </xf>
    <xf numFmtId="164" fontId="9" fillId="7" borderId="65" xfId="0" applyNumberFormat="1" applyFont="1" applyFill="1" applyBorder="1" applyAlignment="1">
      <alignment horizontal="center" vertical="center"/>
    </xf>
    <xf numFmtId="164" fontId="9" fillId="3" borderId="71" xfId="0" applyNumberFormat="1" applyFont="1" applyFill="1" applyBorder="1" applyAlignment="1" applyProtection="1">
      <alignment vertical="center"/>
      <protection locked="0"/>
    </xf>
    <xf numFmtId="0" fontId="4" fillId="0" borderId="0" xfId="0" applyFont="1" applyFill="1" applyBorder="1" applyAlignment="1" applyProtection="1">
      <alignment vertical="center"/>
    </xf>
    <xf numFmtId="0" fontId="4" fillId="0" borderId="74" xfId="0" applyFont="1" applyFill="1" applyBorder="1" applyAlignment="1" applyProtection="1">
      <alignment vertical="center"/>
    </xf>
    <xf numFmtId="0" fontId="18" fillId="2" borderId="9" xfId="0" applyFont="1" applyFill="1" applyBorder="1" applyProtection="1">
      <protection locked="0"/>
    </xf>
    <xf numFmtId="0" fontId="5" fillId="0" borderId="76" xfId="0" applyFont="1" applyBorder="1" applyAlignment="1" applyProtection="1">
      <alignment horizontal="center" vertical="center"/>
    </xf>
    <xf numFmtId="0" fontId="3" fillId="0" borderId="79" xfId="0" applyFont="1" applyBorder="1" applyAlignment="1" applyProtection="1">
      <alignment vertical="center"/>
    </xf>
    <xf numFmtId="0" fontId="3" fillId="0" borderId="75" xfId="0" applyFont="1" applyBorder="1" applyAlignment="1" applyProtection="1">
      <alignment vertical="center"/>
    </xf>
    <xf numFmtId="0" fontId="3" fillId="0" borderId="70" xfId="0" applyFont="1" applyBorder="1" applyAlignment="1" applyProtection="1">
      <alignment vertical="center" wrapText="1"/>
    </xf>
    <xf numFmtId="164" fontId="10" fillId="0" borderId="85" xfId="0" applyNumberFormat="1" applyFont="1" applyBorder="1" applyAlignment="1" applyProtection="1">
      <alignment horizontal="center" vertical="center"/>
      <protection locked="0"/>
    </xf>
    <xf numFmtId="0" fontId="10" fillId="0" borderId="86" xfId="0" applyFont="1" applyBorder="1" applyProtection="1">
      <protection locked="0"/>
    </xf>
    <xf numFmtId="164" fontId="10" fillId="0" borderId="90" xfId="0" applyNumberFormat="1" applyFont="1" applyBorder="1" applyAlignment="1" applyProtection="1">
      <alignment horizontal="center" vertical="center"/>
      <protection locked="0"/>
    </xf>
    <xf numFmtId="0" fontId="10" fillId="0" borderId="91" xfId="0" applyFont="1" applyBorder="1" applyAlignment="1" applyProtection="1">
      <alignment horizontal="center" vertical="center"/>
      <protection locked="0"/>
    </xf>
    <xf numFmtId="0" fontId="10" fillId="0" borderId="86" xfId="0" applyFont="1" applyBorder="1" applyAlignment="1" applyProtection="1">
      <alignment horizontal="center" vertical="center"/>
      <protection locked="0"/>
    </xf>
    <xf numFmtId="0" fontId="9" fillId="0" borderId="91" xfId="0" applyFont="1" applyBorder="1" applyAlignment="1">
      <alignment vertical="center"/>
    </xf>
    <xf numFmtId="0" fontId="1" fillId="2" borderId="92" xfId="0" applyFont="1" applyFill="1" applyBorder="1" applyAlignment="1">
      <alignment horizontal="center" vertical="center"/>
    </xf>
    <xf numFmtId="0" fontId="1" fillId="2" borderId="95" xfId="0" applyFont="1" applyFill="1" applyBorder="1" applyAlignment="1">
      <alignment horizontal="center" vertical="center"/>
    </xf>
    <xf numFmtId="0" fontId="5" fillId="0" borderId="75" xfId="0" applyFont="1" applyBorder="1" applyAlignment="1">
      <alignment horizontal="center" vertical="center"/>
    </xf>
    <xf numFmtId="0" fontId="5" fillId="0" borderId="96" xfId="0" applyFont="1" applyBorder="1" applyAlignment="1">
      <alignment horizontal="center" vertical="center"/>
    </xf>
    <xf numFmtId="0" fontId="5" fillId="0" borderId="70" xfId="0" applyFont="1" applyBorder="1" applyAlignment="1">
      <alignment horizontal="center" vertical="center"/>
    </xf>
    <xf numFmtId="0" fontId="5" fillId="0" borderId="91" xfId="0" applyFont="1" applyBorder="1" applyAlignment="1">
      <alignment horizontal="center" vertical="center"/>
    </xf>
    <xf numFmtId="0" fontId="0" fillId="0" borderId="82" xfId="0" applyBorder="1" applyAlignment="1">
      <alignment horizontal="center" vertical="center"/>
    </xf>
    <xf numFmtId="0" fontId="1" fillId="2" borderId="97" xfId="0" applyFont="1" applyFill="1" applyBorder="1" applyAlignment="1">
      <alignment vertical="center"/>
    </xf>
    <xf numFmtId="0" fontId="1" fillId="2" borderId="97" xfId="0" applyFont="1" applyFill="1" applyBorder="1" applyAlignment="1">
      <alignment horizontal="left" vertical="center"/>
    </xf>
    <xf numFmtId="0" fontId="5" fillId="0" borderId="86" xfId="0" applyFont="1" applyBorder="1" applyAlignment="1">
      <alignment horizontal="center" vertical="center"/>
    </xf>
    <xf numFmtId="0" fontId="5" fillId="0" borderId="68" xfId="0" applyFont="1" applyBorder="1" applyAlignment="1">
      <alignment horizontal="center" vertical="center"/>
    </xf>
    <xf numFmtId="0" fontId="10" fillId="0" borderId="94" xfId="0" applyFont="1" applyBorder="1" applyAlignment="1" applyProtection="1">
      <alignment horizontal="center" vertical="center"/>
    </xf>
    <xf numFmtId="0" fontId="0" fillId="0" borderId="68" xfId="0" applyBorder="1" applyAlignment="1">
      <alignment horizontal="center" vertical="center"/>
    </xf>
    <xf numFmtId="0" fontId="10" fillId="0" borderId="98" xfId="0" applyFont="1" applyBorder="1" applyAlignment="1" applyProtection="1">
      <alignment horizontal="center" vertical="center"/>
    </xf>
    <xf numFmtId="0" fontId="0" fillId="0" borderId="93" xfId="0" applyBorder="1" applyAlignment="1" applyProtection="1">
      <alignment horizontal="center" vertical="center"/>
      <protection locked="0"/>
    </xf>
    <xf numFmtId="0" fontId="5" fillId="0" borderId="80" xfId="0" applyFont="1" applyBorder="1" applyAlignment="1">
      <alignment vertical="center"/>
    </xf>
    <xf numFmtId="0" fontId="0" fillId="0" borderId="81" xfId="0" applyBorder="1" applyAlignment="1">
      <alignment horizontal="left" vertical="top"/>
    </xf>
    <xf numFmtId="0" fontId="5" fillId="0" borderId="71" xfId="0" applyFont="1" applyBorder="1" applyAlignment="1">
      <alignment horizontal="center" vertical="center"/>
    </xf>
    <xf numFmtId="165" fontId="0" fillId="0" borderId="85" xfId="0" applyNumberFormat="1" applyBorder="1" applyAlignment="1" applyProtection="1">
      <alignment horizontal="center" vertical="center"/>
      <protection locked="0"/>
    </xf>
    <xf numFmtId="0" fontId="0" fillId="0" borderId="85" xfId="0" applyBorder="1" applyAlignment="1" applyProtection="1">
      <alignment horizontal="center" vertical="center"/>
      <protection locked="0"/>
    </xf>
    <xf numFmtId="0" fontId="4" fillId="0" borderId="82" xfId="0" applyFont="1" applyBorder="1" applyAlignment="1" applyProtection="1">
      <alignment horizontal="center" vertical="center"/>
      <protection locked="0"/>
    </xf>
    <xf numFmtId="0" fontId="9" fillId="0" borderId="99" xfId="0" applyFont="1" applyBorder="1" applyAlignment="1" applyProtection="1">
      <alignment vertical="center"/>
      <protection locked="0"/>
    </xf>
    <xf numFmtId="0" fontId="0" fillId="0" borderId="82" xfId="0" applyBorder="1"/>
    <xf numFmtId="0" fontId="0" fillId="0" borderId="103" xfId="0" applyBorder="1"/>
    <xf numFmtId="0" fontId="0" fillId="0" borderId="83" xfId="0" applyBorder="1"/>
    <xf numFmtId="0" fontId="1" fillId="2" borderId="84" xfId="0" applyFont="1" applyFill="1" applyBorder="1" applyAlignment="1">
      <alignment horizontal="center" vertical="center"/>
    </xf>
    <xf numFmtId="0" fontId="1" fillId="2" borderId="99" xfId="0" applyFont="1" applyFill="1" applyBorder="1" applyAlignment="1">
      <alignment horizontal="center" vertical="center"/>
    </xf>
    <xf numFmtId="0" fontId="0" fillId="0" borderId="104" xfId="0" applyBorder="1"/>
    <xf numFmtId="0" fontId="5" fillId="0" borderId="105" xfId="0" applyFont="1" applyBorder="1" applyAlignment="1">
      <alignment horizontal="center"/>
    </xf>
    <xf numFmtId="0" fontId="0" fillId="0" borderId="106" xfId="0" applyBorder="1"/>
    <xf numFmtId="0" fontId="5" fillId="0" borderId="105" xfId="0" applyFont="1" applyBorder="1" applyAlignment="1">
      <alignment horizontal="center" vertical="center"/>
    </xf>
    <xf numFmtId="0" fontId="0" fillId="0" borderId="87" xfId="0" applyBorder="1"/>
    <xf numFmtId="0" fontId="0" fillId="0" borderId="107" xfId="0" applyBorder="1"/>
    <xf numFmtId="0" fontId="0" fillId="0" borderId="88" xfId="0" applyBorder="1"/>
    <xf numFmtId="1" fontId="8" fillId="0" borderId="80" xfId="0" applyNumberFormat="1" applyFont="1" applyBorder="1" applyAlignment="1" applyProtection="1">
      <alignment horizontal="center" vertical="center"/>
      <protection locked="0"/>
    </xf>
    <xf numFmtId="0" fontId="5" fillId="0" borderId="100" xfId="0" applyFont="1" applyBorder="1" applyAlignment="1">
      <alignment horizontal="center" vertical="top"/>
    </xf>
    <xf numFmtId="165" fontId="0" fillId="0" borderId="76" xfId="0" applyNumberFormat="1" applyBorder="1" applyAlignment="1" applyProtection="1">
      <alignment horizontal="center" vertical="center"/>
      <protection locked="0"/>
    </xf>
    <xf numFmtId="165" fontId="5" fillId="3" borderId="85" xfId="0" applyNumberFormat="1" applyFont="1" applyFill="1" applyBorder="1" applyAlignment="1">
      <alignment horizontal="center" vertical="center"/>
    </xf>
    <xf numFmtId="1" fontId="8" fillId="0" borderId="85" xfId="0" applyNumberFormat="1" applyFont="1" applyBorder="1" applyAlignment="1" applyProtection="1">
      <alignment horizontal="center" vertical="center"/>
      <protection locked="0"/>
    </xf>
    <xf numFmtId="1" fontId="5" fillId="3" borderId="86" xfId="0" applyNumberFormat="1" applyFont="1" applyFill="1" applyBorder="1" applyAlignment="1">
      <alignment horizontal="center" vertical="center"/>
    </xf>
    <xf numFmtId="164" fontId="5" fillId="3" borderId="108" xfId="0" applyNumberFormat="1" applyFont="1" applyFill="1" applyBorder="1" applyAlignment="1">
      <alignment horizontal="center" vertical="center"/>
    </xf>
    <xf numFmtId="165" fontId="0" fillId="0" borderId="90" xfId="0" applyNumberFormat="1" applyBorder="1" applyAlignment="1" applyProtection="1">
      <alignment horizontal="center" vertical="center"/>
      <protection locked="0"/>
    </xf>
    <xf numFmtId="1" fontId="5" fillId="3" borderId="90" xfId="0" applyNumberFormat="1" applyFont="1" applyFill="1" applyBorder="1" applyAlignment="1">
      <alignment horizontal="center" vertical="center"/>
    </xf>
    <xf numFmtId="1" fontId="5" fillId="3" borderId="91" xfId="0" applyNumberFormat="1" applyFont="1" applyFill="1" applyBorder="1" applyAlignment="1" applyProtection="1">
      <alignment horizontal="center" vertical="center"/>
      <protection locked="0"/>
    </xf>
    <xf numFmtId="165" fontId="5" fillId="3" borderId="85" xfId="0" applyNumberFormat="1" applyFont="1" applyFill="1" applyBorder="1" applyAlignment="1" applyProtection="1">
      <alignment horizontal="center" vertical="center"/>
    </xf>
    <xf numFmtId="0" fontId="4" fillId="0" borderId="66" xfId="0" applyFont="1" applyBorder="1" applyAlignment="1">
      <alignment vertical="center"/>
    </xf>
    <xf numFmtId="0" fontId="2" fillId="0" borderId="78" xfId="0" applyFont="1" applyBorder="1" applyAlignment="1">
      <alignment vertical="center"/>
    </xf>
    <xf numFmtId="164" fontId="17" fillId="0" borderId="67" xfId="0" applyNumberFormat="1" applyFont="1" applyBorder="1" applyAlignment="1" applyProtection="1">
      <alignment vertical="center"/>
      <protection locked="0"/>
    </xf>
    <xf numFmtId="0" fontId="5" fillId="0" borderId="109" xfId="0" applyFont="1" applyBorder="1" applyAlignment="1">
      <alignment vertical="center"/>
    </xf>
    <xf numFmtId="0" fontId="5" fillId="0" borderId="98" xfId="0" applyFont="1" applyBorder="1" applyAlignment="1">
      <alignment horizontal="center" vertical="center"/>
    </xf>
    <xf numFmtId="164" fontId="13" fillId="0" borderId="75" xfId="0" applyNumberFormat="1" applyFont="1" applyBorder="1" applyAlignment="1" applyProtection="1">
      <alignment horizontal="center" vertical="center"/>
      <protection locked="0"/>
    </xf>
    <xf numFmtId="164" fontId="8" fillId="0" borderId="96" xfId="0" applyNumberFormat="1" applyFont="1" applyBorder="1" applyAlignment="1" applyProtection="1">
      <alignment horizontal="center" vertical="center"/>
      <protection locked="0"/>
    </xf>
    <xf numFmtId="0" fontId="3" fillId="0" borderId="79" xfId="0" applyFont="1" applyBorder="1" applyAlignment="1">
      <alignment horizontal="center" vertical="center"/>
    </xf>
    <xf numFmtId="0" fontId="3" fillId="0" borderId="108" xfId="0" applyFont="1" applyBorder="1" applyAlignment="1">
      <alignment horizontal="center" vertical="center"/>
    </xf>
    <xf numFmtId="0" fontId="3" fillId="0" borderId="90" xfId="0" applyFont="1" applyBorder="1" applyAlignment="1">
      <alignment horizontal="center" vertical="center"/>
    </xf>
    <xf numFmtId="164" fontId="3" fillId="3" borderId="76" xfId="0" applyNumberFormat="1" applyFont="1" applyFill="1" applyBorder="1" applyAlignment="1">
      <alignment horizontal="center" vertical="center"/>
    </xf>
    <xf numFmtId="164" fontId="0" fillId="0" borderId="85" xfId="0" applyNumberFormat="1" applyBorder="1" applyAlignment="1" applyProtection="1">
      <alignment horizontal="center" vertical="center"/>
      <protection locked="0"/>
    </xf>
    <xf numFmtId="164" fontId="5" fillId="3" borderId="86" xfId="0" applyNumberFormat="1" applyFont="1" applyFill="1" applyBorder="1" applyAlignment="1">
      <alignment horizontal="center" vertical="center"/>
    </xf>
    <xf numFmtId="164" fontId="13" fillId="0" borderId="108" xfId="0" applyNumberFormat="1" applyFont="1" applyBorder="1" applyAlignment="1" applyProtection="1">
      <alignment horizontal="center" vertical="center"/>
      <protection locked="0"/>
    </xf>
    <xf numFmtId="164" fontId="0" fillId="0" borderId="90" xfId="0" applyNumberFormat="1" applyBorder="1" applyAlignment="1" applyProtection="1">
      <alignment horizontal="center" vertical="center"/>
      <protection locked="0"/>
    </xf>
    <xf numFmtId="164" fontId="5" fillId="3" borderId="91" xfId="0" applyNumberFormat="1" applyFont="1" applyFill="1" applyBorder="1" applyAlignment="1">
      <alignment horizontal="center" vertical="center"/>
    </xf>
    <xf numFmtId="1" fontId="5" fillId="3" borderId="77" xfId="0" applyNumberFormat="1" applyFont="1" applyFill="1" applyBorder="1" applyAlignment="1">
      <alignment horizontal="center" vertical="center"/>
    </xf>
    <xf numFmtId="1" fontId="5" fillId="3" borderId="80" xfId="0" applyNumberFormat="1" applyFont="1" applyFill="1" applyBorder="1" applyAlignment="1" applyProtection="1">
      <alignment horizontal="center" vertical="center"/>
      <protection locked="0"/>
    </xf>
    <xf numFmtId="164" fontId="13" fillId="0" borderId="106" xfId="0" applyNumberFormat="1" applyFont="1"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164" fontId="5" fillId="3" borderId="94" xfId="0" applyNumberFormat="1" applyFont="1" applyFill="1" applyBorder="1" applyAlignment="1">
      <alignment horizontal="center" vertical="center"/>
    </xf>
    <xf numFmtId="164" fontId="3" fillId="3" borderId="101" xfId="0" applyNumberFormat="1" applyFont="1" applyFill="1" applyBorder="1" applyAlignment="1" applyProtection="1">
      <alignment horizontal="center" vertical="center"/>
    </xf>
    <xf numFmtId="0" fontId="0" fillId="0" borderId="110" xfId="0" applyBorder="1" applyAlignment="1" applyProtection="1">
      <alignment horizontal="center" vertical="center"/>
      <protection locked="0"/>
    </xf>
    <xf numFmtId="164" fontId="8" fillId="0" borderId="102" xfId="0" applyNumberFormat="1" applyFont="1" applyBorder="1" applyAlignment="1" applyProtection="1">
      <alignment horizontal="center" vertical="center"/>
      <protection locked="0"/>
    </xf>
    <xf numFmtId="0" fontId="0" fillId="2" borderId="66" xfId="0" applyFill="1" applyBorder="1" applyAlignment="1">
      <alignment horizontal="left" vertical="center"/>
    </xf>
    <xf numFmtId="0" fontId="1" fillId="2" borderId="73" xfId="0" applyFont="1" applyFill="1" applyBorder="1" applyAlignment="1">
      <alignment horizontal="left" vertical="center"/>
    </xf>
    <xf numFmtId="0" fontId="0" fillId="2" borderId="73" xfId="0" applyFill="1" applyBorder="1" applyAlignment="1">
      <alignment horizontal="left" vertical="center"/>
    </xf>
    <xf numFmtId="0" fontId="0" fillId="2" borderId="67" xfId="0" applyFill="1" applyBorder="1" applyAlignment="1">
      <alignment horizontal="left" vertical="center"/>
    </xf>
    <xf numFmtId="49" fontId="4" fillId="0" borderId="75" xfId="0" applyNumberFormat="1" applyFont="1" applyBorder="1" applyAlignment="1">
      <alignment horizontal="left" vertical="center"/>
    </xf>
    <xf numFmtId="49" fontId="0" fillId="0" borderId="69" xfId="0" applyNumberFormat="1" applyBorder="1" applyAlignment="1">
      <alignment horizontal="left" vertical="center"/>
    </xf>
    <xf numFmtId="49" fontId="11" fillId="0" borderId="75" xfId="0" applyNumberFormat="1" applyFont="1" applyBorder="1" applyAlignment="1" applyProtection="1">
      <alignment vertical="center"/>
      <protection locked="0"/>
    </xf>
    <xf numFmtId="49" fontId="17" fillId="0" borderId="69" xfId="0" applyNumberFormat="1" applyFont="1" applyBorder="1" applyAlignment="1" applyProtection="1">
      <alignment vertical="center"/>
      <protection locked="0"/>
    </xf>
    <xf numFmtId="49" fontId="11" fillId="0" borderId="69" xfId="0" applyNumberFormat="1" applyFont="1" applyBorder="1" applyAlignment="1" applyProtection="1">
      <alignment vertical="center"/>
      <protection locked="0"/>
    </xf>
    <xf numFmtId="49" fontId="17" fillId="0" borderId="75" xfId="0" applyNumberFormat="1" applyFont="1" applyBorder="1" applyAlignment="1" applyProtection="1">
      <alignment vertical="center"/>
      <protection locked="0"/>
    </xf>
    <xf numFmtId="49" fontId="3" fillId="0" borderId="0" xfId="0" applyNumberFormat="1" applyFont="1" applyBorder="1" applyAlignment="1">
      <alignment horizontal="left" vertical="center"/>
    </xf>
    <xf numFmtId="49" fontId="20" fillId="0" borderId="75" xfId="0" applyNumberFormat="1" applyFont="1" applyBorder="1" applyAlignment="1" applyProtection="1">
      <alignment vertical="center"/>
      <protection locked="0"/>
    </xf>
    <xf numFmtId="49" fontId="0" fillId="2" borderId="75" xfId="0" applyNumberFormat="1" applyFill="1" applyBorder="1"/>
    <xf numFmtId="49" fontId="0" fillId="2" borderId="69" xfId="0" applyNumberFormat="1" applyFill="1" applyBorder="1"/>
    <xf numFmtId="49" fontId="12" fillId="0" borderId="75" xfId="0" applyNumberFormat="1" applyFont="1" applyBorder="1" applyAlignment="1" applyProtection="1">
      <alignment vertical="center"/>
    </xf>
    <xf numFmtId="49" fontId="12" fillId="0" borderId="69" xfId="0" applyNumberFormat="1" applyFont="1" applyBorder="1" applyAlignment="1" applyProtection="1">
      <alignment vertical="center"/>
      <protection locked="0"/>
    </xf>
    <xf numFmtId="49" fontId="3" fillId="0" borderId="79" xfId="0" applyNumberFormat="1" applyFont="1" applyBorder="1" applyAlignment="1" applyProtection="1">
      <alignment horizontal="center" vertical="center"/>
      <protection locked="0"/>
    </xf>
    <xf numFmtId="49" fontId="10" fillId="0" borderId="69" xfId="0" applyNumberFormat="1" applyFont="1" applyBorder="1" applyAlignment="1" applyProtection="1">
      <alignment vertical="center"/>
      <protection locked="0"/>
    </xf>
    <xf numFmtId="49" fontId="3" fillId="0" borderId="79" xfId="0" applyNumberFormat="1" applyFont="1" applyBorder="1" applyAlignment="1">
      <alignment horizontal="center" vertical="center"/>
    </xf>
    <xf numFmtId="49" fontId="3" fillId="0" borderId="108" xfId="0" applyNumberFormat="1" applyFont="1" applyBorder="1" applyAlignment="1">
      <alignment horizontal="center" vertical="center"/>
    </xf>
    <xf numFmtId="49" fontId="10" fillId="0" borderId="80" xfId="0" applyNumberFormat="1" applyFont="1" applyBorder="1" applyAlignment="1" applyProtection="1">
      <alignment vertical="center"/>
      <protection locked="0"/>
    </xf>
    <xf numFmtId="49" fontId="10" fillId="0" borderId="81" xfId="0" applyNumberFormat="1" applyFont="1" applyBorder="1" applyAlignment="1" applyProtection="1">
      <alignment vertical="center"/>
      <protection locked="0"/>
    </xf>
    <xf numFmtId="49" fontId="3" fillId="0" borderId="90" xfId="0" applyNumberFormat="1" applyFont="1" applyBorder="1" applyAlignment="1">
      <alignment horizontal="center" vertical="center"/>
    </xf>
    <xf numFmtId="49" fontId="10" fillId="0" borderId="71" xfId="0" applyNumberFormat="1" applyFont="1" applyBorder="1" applyAlignment="1" applyProtection="1">
      <alignment vertical="center"/>
      <protection locked="0"/>
    </xf>
    <xf numFmtId="0" fontId="0" fillId="0" borderId="0" xfId="0"/>
    <xf numFmtId="0" fontId="8" fillId="0" borderId="0" xfId="0" applyFont="1"/>
    <xf numFmtId="0" fontId="0" fillId="0" borderId="0" xfId="0" applyAlignment="1">
      <alignment wrapText="1"/>
    </xf>
    <xf numFmtId="0" fontId="8" fillId="0" borderId="0" xfId="0" applyFont="1" applyAlignment="1">
      <alignment wrapText="1"/>
    </xf>
    <xf numFmtId="0" fontId="10" fillId="0" borderId="113" xfId="0" applyFont="1" applyBorder="1" applyAlignment="1">
      <alignment horizontal="center" vertical="center"/>
    </xf>
    <xf numFmtId="0" fontId="0" fillId="0" borderId="0" xfId="0" applyFont="1"/>
    <xf numFmtId="164" fontId="8" fillId="0" borderId="0" xfId="0" applyNumberFormat="1" applyFont="1" applyAlignment="1">
      <alignment horizontal="left" vertical="center"/>
    </xf>
    <xf numFmtId="0" fontId="5" fillId="4" borderId="14" xfId="0" applyFont="1" applyFill="1" applyBorder="1" applyAlignment="1">
      <alignment horizontal="left" vertical="center"/>
    </xf>
    <xf numFmtId="0" fontId="5" fillId="8" borderId="14" xfId="0" applyFont="1" applyFill="1" applyBorder="1" applyAlignment="1">
      <alignment horizontal="left" vertical="center"/>
    </xf>
    <xf numFmtId="0" fontId="5" fillId="0" borderId="14" xfId="0" applyFont="1" applyBorder="1" applyAlignment="1">
      <alignment horizontal="left" vertical="center"/>
    </xf>
    <xf numFmtId="0" fontId="10" fillId="0" borderId="58" xfId="0" applyFont="1" applyBorder="1" applyAlignment="1" applyProtection="1">
      <alignment horizontal="left" vertical="center"/>
      <protection locked="0"/>
    </xf>
    <xf numFmtId="0" fontId="10" fillId="0" borderId="59" xfId="0" applyFont="1" applyBorder="1" applyAlignment="1" applyProtection="1">
      <alignment horizontal="left" vertical="center"/>
      <protection locked="0"/>
    </xf>
    <xf numFmtId="0" fontId="10" fillId="0" borderId="60" xfId="0" applyFont="1" applyBorder="1" applyAlignment="1" applyProtection="1">
      <alignment horizontal="left" vertical="center"/>
      <protection locked="0"/>
    </xf>
    <xf numFmtId="0" fontId="10" fillId="0" borderId="56" xfId="0"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10" fillId="0" borderId="61" xfId="0" applyFont="1" applyBorder="1" applyAlignment="1" applyProtection="1">
      <alignment horizontal="left" vertical="center"/>
      <protection locked="0"/>
    </xf>
    <xf numFmtId="0" fontId="10" fillId="0" borderId="55" xfId="0" applyFont="1" applyBorder="1" applyAlignment="1" applyProtection="1">
      <alignment horizontal="left" vertical="center"/>
      <protection locked="0"/>
    </xf>
    <xf numFmtId="0" fontId="10" fillId="0" borderId="5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57" xfId="0" applyFont="1" applyBorder="1" applyAlignment="1" applyProtection="1">
      <alignment horizontal="left" vertical="center"/>
      <protection locked="0"/>
    </xf>
    <xf numFmtId="0" fontId="10" fillId="0" borderId="58" xfId="0" applyFont="1" applyBorder="1" applyAlignment="1" applyProtection="1">
      <alignment horizontal="center" vertical="center"/>
      <protection locked="0"/>
    </xf>
    <xf numFmtId="0" fontId="10" fillId="0" borderId="59" xfId="0" applyFont="1" applyBorder="1" applyAlignment="1" applyProtection="1">
      <alignment horizontal="center" vertical="center"/>
      <protection locked="0"/>
    </xf>
    <xf numFmtId="0" fontId="10" fillId="0" borderId="60" xfId="0" applyFont="1" applyBorder="1" applyAlignment="1" applyProtection="1">
      <alignment horizontal="center" vertical="center"/>
      <protection locked="0"/>
    </xf>
    <xf numFmtId="49" fontId="9" fillId="0" borderId="83" xfId="0" applyNumberFormat="1" applyFont="1" applyBorder="1" applyAlignment="1" applyProtection="1">
      <alignment horizontal="left" vertical="center"/>
      <protection locked="0"/>
    </xf>
    <xf numFmtId="49" fontId="9" fillId="0" borderId="84" xfId="0" applyNumberFormat="1" applyFont="1" applyBorder="1" applyAlignment="1" applyProtection="1">
      <alignment horizontal="left" vertical="center"/>
      <protection locked="0"/>
    </xf>
    <xf numFmtId="49" fontId="9" fillId="0" borderId="88" xfId="0" applyNumberFormat="1" applyFont="1" applyBorder="1" applyAlignment="1" applyProtection="1">
      <alignment horizontal="left" vertical="center"/>
      <protection locked="0"/>
    </xf>
    <xf numFmtId="49" fontId="9" fillId="0" borderId="89" xfId="0" applyNumberFormat="1" applyFont="1" applyBorder="1" applyAlignment="1" applyProtection="1">
      <alignment horizontal="left" vertical="center"/>
      <protection locked="0"/>
    </xf>
    <xf numFmtId="1" fontId="4" fillId="0" borderId="82" xfId="0" applyNumberFormat="1" applyFont="1" applyBorder="1" applyAlignment="1" applyProtection="1">
      <alignment horizontal="center" vertical="center"/>
    </xf>
    <xf numFmtId="1" fontId="4" fillId="0" borderId="87" xfId="0" applyNumberFormat="1" applyFont="1" applyBorder="1" applyAlignment="1" applyProtection="1">
      <alignment horizontal="center" vertical="center"/>
    </xf>
    <xf numFmtId="0" fontId="10" fillId="0" borderId="99" xfId="0" applyFont="1" applyBorder="1" applyAlignment="1" applyProtection="1">
      <alignment horizontal="center" vertical="center"/>
    </xf>
    <xf numFmtId="0" fontId="10" fillId="0" borderId="100" xfId="0" applyFont="1" applyBorder="1" applyAlignment="1" applyProtection="1">
      <alignment horizontal="center" vertical="center"/>
    </xf>
    <xf numFmtId="165" fontId="21" fillId="3" borderId="103" xfId="0" applyNumberFormat="1" applyFont="1" applyFill="1" applyBorder="1" applyAlignment="1">
      <alignment horizontal="center" vertical="center"/>
    </xf>
    <xf numFmtId="165" fontId="21" fillId="3" borderId="107" xfId="0" applyNumberFormat="1" applyFont="1" applyFill="1" applyBorder="1" applyAlignment="1">
      <alignment horizontal="center" vertical="center"/>
    </xf>
    <xf numFmtId="0" fontId="0" fillId="0" borderId="80" xfId="0"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87" xfId="0" applyFont="1" applyBorder="1" applyAlignment="1" applyProtection="1">
      <alignment horizontal="center" vertical="center"/>
      <protection locked="0"/>
    </xf>
    <xf numFmtId="1" fontId="4" fillId="0" borderId="82" xfId="0" applyNumberFormat="1" applyFont="1" applyBorder="1" applyAlignment="1" applyProtection="1">
      <alignment horizontal="center" vertical="center"/>
      <protection locked="0"/>
    </xf>
    <xf numFmtId="1" fontId="4" fillId="0" borderId="87" xfId="0" applyNumberFormat="1" applyFont="1" applyBorder="1" applyAlignment="1" applyProtection="1">
      <alignment horizontal="center" vertical="center"/>
      <protection locked="0"/>
    </xf>
    <xf numFmtId="1" fontId="5" fillId="0" borderId="92" xfId="0" applyNumberFormat="1" applyFont="1" applyBorder="1" applyAlignment="1" applyProtection="1">
      <alignment horizontal="center" vertical="center"/>
    </xf>
    <xf numFmtId="1" fontId="5" fillId="0" borderId="93" xfId="0" applyNumberFormat="1" applyFont="1" applyBorder="1" applyAlignment="1" applyProtection="1">
      <alignment horizontal="center" vertical="center"/>
    </xf>
    <xf numFmtId="1" fontId="5" fillId="0" borderId="82" xfId="0" applyNumberFormat="1" applyFont="1" applyBorder="1" applyAlignment="1" applyProtection="1">
      <alignment horizontal="center" vertical="center"/>
    </xf>
    <xf numFmtId="1" fontId="5" fillId="0" borderId="87" xfId="0" applyNumberFormat="1" applyFont="1" applyBorder="1" applyAlignment="1" applyProtection="1">
      <alignment horizontal="center" vertical="center"/>
    </xf>
    <xf numFmtId="0" fontId="5" fillId="0" borderId="75" xfId="0" applyFont="1" applyBorder="1" applyAlignment="1">
      <alignment horizontal="left" vertical="center"/>
    </xf>
    <xf numFmtId="0" fontId="5" fillId="0" borderId="12" xfId="0" applyFont="1" applyBorder="1" applyAlignment="1">
      <alignment horizontal="left" vertical="center"/>
    </xf>
    <xf numFmtId="0" fontId="5" fillId="0" borderId="69" xfId="0" applyFont="1" applyBorder="1" applyAlignment="1">
      <alignment horizontal="left" vertical="center"/>
    </xf>
    <xf numFmtId="0" fontId="9" fillId="0" borderId="0" xfId="0" applyFont="1" applyBorder="1" applyAlignment="1" applyProtection="1">
      <alignment horizontal="center" vertical="center"/>
      <protection locked="0"/>
    </xf>
    <xf numFmtId="0" fontId="5" fillId="0" borderId="70" xfId="0" applyFont="1" applyBorder="1" applyAlignment="1" applyProtection="1">
      <alignment horizontal="left" vertical="center"/>
      <protection locked="0"/>
    </xf>
    <xf numFmtId="0" fontId="5" fillId="0" borderId="74" xfId="0" applyFont="1" applyBorder="1" applyAlignment="1" applyProtection="1">
      <alignment horizontal="left" vertical="center"/>
      <protection locked="0"/>
    </xf>
    <xf numFmtId="0" fontId="5" fillId="0" borderId="71" xfId="0" applyFont="1" applyBorder="1" applyAlignment="1" applyProtection="1">
      <alignment horizontal="left" vertical="center"/>
      <protection locked="0"/>
    </xf>
    <xf numFmtId="0" fontId="5" fillId="0" borderId="8" xfId="0" applyFont="1" applyBorder="1" applyAlignment="1">
      <alignment horizontal="center" vertical="top"/>
    </xf>
    <xf numFmtId="0" fontId="5" fillId="0" borderId="0" xfId="0" applyFont="1" applyBorder="1" applyAlignment="1">
      <alignment horizontal="center" vertical="top"/>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111"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9" fillId="0" borderId="12" xfId="0" applyFont="1" applyBorder="1" applyAlignment="1" applyProtection="1">
      <alignment horizontal="left" vertical="center"/>
      <protection locked="0"/>
    </xf>
    <xf numFmtId="0" fontId="5" fillId="0" borderId="72" xfId="0" applyFont="1" applyBorder="1" applyAlignment="1" applyProtection="1">
      <alignment horizontal="left" vertical="center"/>
    </xf>
    <xf numFmtId="0" fontId="5" fillId="0" borderId="64" xfId="0" applyFont="1" applyBorder="1" applyAlignment="1" applyProtection="1">
      <alignment horizontal="left" vertical="center"/>
    </xf>
    <xf numFmtId="0" fontId="9" fillId="0" borderId="64" xfId="0" applyFont="1" applyBorder="1" applyAlignment="1" applyProtection="1">
      <alignment horizontal="left" vertical="center"/>
      <protection locked="0"/>
    </xf>
    <xf numFmtId="0" fontId="9" fillId="0" borderId="65" xfId="0" applyFont="1" applyBorder="1" applyAlignment="1" applyProtection="1">
      <alignment horizontal="left" vertical="center"/>
      <protection locked="0"/>
    </xf>
    <xf numFmtId="0" fontId="5" fillId="0" borderId="66" xfId="0" applyFont="1" applyBorder="1" applyAlignment="1">
      <alignment horizontal="left" vertical="center"/>
    </xf>
    <xf numFmtId="0" fontId="5" fillId="0" borderId="73" xfId="0" applyFont="1" applyBorder="1" applyAlignment="1">
      <alignment horizontal="left" vertical="center"/>
    </xf>
    <xf numFmtId="0" fontId="5" fillId="0" borderId="77" xfId="0" applyFont="1" applyBorder="1" applyAlignment="1">
      <alignment horizontal="center" vertical="center"/>
    </xf>
    <xf numFmtId="0" fontId="5" fillId="0" borderId="78" xfId="0" applyFont="1" applyBorder="1" applyAlignment="1">
      <alignment horizontal="center" vertical="center"/>
    </xf>
    <xf numFmtId="2" fontId="23" fillId="3" borderId="80" xfId="0" applyNumberFormat="1" applyFont="1" applyFill="1" applyBorder="1" applyAlignment="1">
      <alignment horizontal="center" vertical="center"/>
    </xf>
    <xf numFmtId="2" fontId="23" fillId="3" borderId="71" xfId="0" applyNumberFormat="1" applyFont="1" applyFill="1" applyBorder="1" applyAlignment="1">
      <alignment horizontal="center" vertical="center"/>
    </xf>
    <xf numFmtId="0" fontId="5" fillId="0" borderId="67" xfId="0" applyFont="1" applyBorder="1" applyAlignment="1">
      <alignment horizontal="left" vertical="center"/>
    </xf>
    <xf numFmtId="0" fontId="5" fillId="0" borderId="70" xfId="0" applyFont="1" applyBorder="1" applyAlignment="1">
      <alignment horizontal="left" vertical="center"/>
    </xf>
    <xf numFmtId="0" fontId="5" fillId="0" borderId="74" xfId="0" applyFont="1" applyBorder="1" applyAlignment="1">
      <alignment horizontal="left" vertical="center"/>
    </xf>
    <xf numFmtId="164" fontId="23" fillId="3" borderId="80" xfId="0" applyNumberFormat="1" applyFont="1" applyFill="1" applyBorder="1" applyAlignment="1" applyProtection="1">
      <alignment horizontal="center" vertical="center"/>
    </xf>
    <xf numFmtId="164" fontId="23" fillId="3" borderId="81" xfId="0" applyNumberFormat="1" applyFont="1" applyFill="1" applyBorder="1" applyAlignment="1" applyProtection="1">
      <alignment horizontal="center" vertical="center"/>
    </xf>
    <xf numFmtId="0" fontId="22" fillId="0" borderId="10" xfId="0" applyFont="1" applyBorder="1" applyAlignment="1" applyProtection="1">
      <alignment horizontal="center" vertical="center"/>
    </xf>
    <xf numFmtId="0" fontId="22" fillId="0" borderId="11" xfId="0" applyFont="1" applyBorder="1" applyAlignment="1" applyProtection="1">
      <alignment horizontal="center" vertical="center"/>
    </xf>
    <xf numFmtId="0" fontId="22" fillId="0" borderId="10" xfId="0" applyFont="1" applyBorder="1" applyAlignment="1">
      <alignment horizontal="center"/>
    </xf>
    <xf numFmtId="0" fontId="22" fillId="0" borderId="11" xfId="0" applyFont="1" applyBorder="1" applyAlignment="1">
      <alignment horizontal="center"/>
    </xf>
    <xf numFmtId="2" fontId="22" fillId="0" borderId="10" xfId="0" applyNumberFormat="1" applyFont="1" applyBorder="1" applyAlignment="1" applyProtection="1">
      <alignment horizontal="center" vertical="center"/>
      <protection locked="0"/>
    </xf>
    <xf numFmtId="2" fontId="22" fillId="0" borderId="69" xfId="0" applyNumberFormat="1" applyFont="1"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5" fillId="0" borderId="3" xfId="0" applyFont="1" applyBorder="1" applyAlignment="1">
      <alignment horizontal="right" vertical="center"/>
    </xf>
    <xf numFmtId="0" fontId="5" fillId="0" borderId="5" xfId="0" applyFont="1" applyBorder="1" applyAlignment="1">
      <alignment horizontal="right" vertical="center"/>
    </xf>
    <xf numFmtId="0" fontId="1" fillId="2" borderId="77" xfId="0" applyFont="1" applyFill="1" applyBorder="1" applyAlignment="1" applyProtection="1">
      <alignment horizontal="center" vertical="center"/>
      <protection locked="0"/>
    </xf>
    <xf numFmtId="0" fontId="1" fillId="2" borderId="67" xfId="0" applyFont="1" applyFill="1" applyBorder="1" applyAlignment="1" applyProtection="1">
      <alignment horizontal="center" vertical="center"/>
      <protection locked="0"/>
    </xf>
    <xf numFmtId="0" fontId="9" fillId="0" borderId="12" xfId="0" applyFont="1" applyBorder="1" applyAlignment="1" applyProtection="1">
      <alignment horizontal="left" vertical="center"/>
    </xf>
    <xf numFmtId="0" fontId="5" fillId="0" borderId="67" xfId="0" applyFont="1" applyBorder="1" applyAlignment="1">
      <alignment horizontal="center" vertical="center"/>
    </xf>
    <xf numFmtId="0" fontId="23" fillId="3" borderId="10" xfId="0" applyFont="1" applyFill="1" applyBorder="1" applyAlignment="1" applyProtection="1">
      <alignment horizontal="center" vertical="center"/>
    </xf>
    <xf numFmtId="0" fontId="23" fillId="3" borderId="11" xfId="0" applyFont="1" applyFill="1" applyBorder="1" applyAlignment="1" applyProtection="1">
      <alignment horizontal="center" vertical="center"/>
    </xf>
    <xf numFmtId="2" fontId="23" fillId="3" borderId="10" xfId="0" applyNumberFormat="1" applyFont="1" applyFill="1" applyBorder="1" applyAlignment="1" applyProtection="1">
      <alignment horizontal="center" vertical="center"/>
    </xf>
    <xf numFmtId="2" fontId="23" fillId="3" borderId="69" xfId="0" applyNumberFormat="1" applyFont="1" applyFill="1" applyBorder="1" applyAlignment="1" applyProtection="1">
      <alignment horizontal="center" vertical="center"/>
    </xf>
    <xf numFmtId="0" fontId="5" fillId="0" borderId="1" xfId="0" applyFont="1" applyFill="1" applyBorder="1" applyAlignment="1" applyProtection="1">
      <alignment horizontal="center" vertical="center"/>
      <protection locked="0"/>
    </xf>
    <xf numFmtId="0" fontId="5" fillId="0" borderId="112" xfId="0" applyFont="1" applyFill="1" applyBorder="1" applyAlignment="1" applyProtection="1">
      <alignment horizontal="center" vertical="center"/>
      <protection locked="0"/>
    </xf>
    <xf numFmtId="0" fontId="9" fillId="0" borderId="9" xfId="0" applyFont="1" applyBorder="1" applyAlignment="1" applyProtection="1">
      <alignment horizontal="left" vertical="center"/>
      <protection locked="0"/>
    </xf>
    <xf numFmtId="0" fontId="1" fillId="2" borderId="66" xfId="0" applyFont="1" applyFill="1" applyBorder="1" applyAlignment="1" applyProtection="1">
      <alignment horizontal="center" vertical="center"/>
      <protection locked="0"/>
    </xf>
    <xf numFmtId="0" fontId="1" fillId="2" borderId="78" xfId="0" applyFont="1" applyFill="1" applyBorder="1" applyAlignment="1" applyProtection="1">
      <alignment horizontal="center" vertical="center"/>
      <protection locked="0"/>
    </xf>
    <xf numFmtId="49" fontId="0" fillId="0" borderId="0" xfId="0" applyNumberFormat="1"/>
    <xf numFmtId="0" fontId="8" fillId="0" borderId="0" xfId="2" applyAlignment="1">
      <alignment wrapText="1"/>
    </xf>
    <xf numFmtId="0" fontId="8" fillId="0" borderId="0" xfId="2" applyFont="1" applyAlignment="1">
      <alignment wrapText="1"/>
    </xf>
    <xf numFmtId="0" fontId="8" fillId="0" borderId="0" xfId="2" applyNumberFormat="1" applyAlignment="1">
      <alignment wrapText="1"/>
    </xf>
  </cellXfs>
  <cellStyles count="3">
    <cellStyle name="Hyperlink" xfId="1" builtinId="8"/>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3919457487427392"/>
          <c:y val="8.0000052083367246E-2"/>
          <c:w val="0.81135785091188661"/>
          <c:h val="0.78133384201422007"/>
        </c:manualLayout>
      </c:layout>
      <c:scatterChart>
        <c:scatterStyle val="lineMarker"/>
        <c:ser>
          <c:idx val="0"/>
          <c:order val="0"/>
          <c:marker>
            <c:symbol val="circle"/>
            <c:size val="7"/>
            <c:spPr>
              <a:solidFill>
                <a:srgbClr val="0000FF"/>
              </a:solidFill>
              <a:ln>
                <a:solidFill>
                  <a:srgbClr val="0000FF"/>
                </a:solidFill>
                <a:prstDash val="solid"/>
              </a:ln>
            </c:spPr>
          </c:marker>
          <c:xVal>
            <c:numRef>
              <c:f>'W&amp;B 161'!$C$13</c:f>
              <c:numCache>
                <c:formatCode>0.0</c:formatCode>
                <c:ptCount val="1"/>
                <c:pt idx="0">
                  <c:v>89.242099955065157</c:v>
                </c:pt>
              </c:numCache>
            </c:numRef>
          </c:xVal>
          <c:yVal>
            <c:numRef>
              <c:f>'W&amp;B 161'!$B$13</c:f>
              <c:numCache>
                <c:formatCode>0.0</c:formatCode>
                <c:ptCount val="1"/>
                <c:pt idx="0">
                  <c:v>2002.9</c:v>
                </c:pt>
              </c:numCache>
            </c:numRef>
          </c:yVal>
        </c:ser>
        <c:ser>
          <c:idx val="1"/>
          <c:order val="1"/>
          <c:tx>
            <c:v>Envelope</c:v>
          </c:tx>
          <c:spPr>
            <a:ln w="31750">
              <a:solidFill>
                <a:schemeClr val="tx1"/>
              </a:solidFill>
            </a:ln>
          </c:spPr>
          <c:marker>
            <c:symbol val="square"/>
            <c:size val="3"/>
            <c:spPr>
              <a:solidFill>
                <a:schemeClr val="tx1"/>
              </a:solidFill>
              <a:ln>
                <a:solidFill>
                  <a:schemeClr val="accent1"/>
                </a:solidFill>
              </a:ln>
            </c:spPr>
          </c:marker>
          <c:xVal>
            <c:numRef>
              <c:f>'W&amp;B 161'!$I$23:$I$27</c:f>
              <c:numCache>
                <c:formatCode>0.0</c:formatCode>
                <c:ptCount val="5"/>
                <c:pt idx="0">
                  <c:v>83</c:v>
                </c:pt>
                <c:pt idx="1">
                  <c:v>83</c:v>
                </c:pt>
                <c:pt idx="2">
                  <c:v>87</c:v>
                </c:pt>
                <c:pt idx="3">
                  <c:v>93</c:v>
                </c:pt>
                <c:pt idx="4">
                  <c:v>93</c:v>
                </c:pt>
              </c:numCache>
            </c:numRef>
          </c:xVal>
          <c:yVal>
            <c:numRef>
              <c:f>'W&amp;B 161'!$J$23:$J$27</c:f>
              <c:numCache>
                <c:formatCode>0.0</c:formatCode>
                <c:ptCount val="5"/>
                <c:pt idx="0">
                  <c:v>1400</c:v>
                </c:pt>
                <c:pt idx="1">
                  <c:v>1950</c:v>
                </c:pt>
                <c:pt idx="2">
                  <c:v>2325</c:v>
                </c:pt>
                <c:pt idx="3">
                  <c:v>2325</c:v>
                </c:pt>
                <c:pt idx="4">
                  <c:v>1400</c:v>
                </c:pt>
              </c:numCache>
            </c:numRef>
          </c:yVal>
        </c:ser>
        <c:ser>
          <c:idx val="2"/>
          <c:order val="2"/>
          <c:tx>
            <c:v>Utility</c:v>
          </c:tx>
          <c:spPr>
            <a:ln w="31750">
              <a:solidFill>
                <a:prstClr val="black"/>
              </a:solidFill>
              <a:prstDash val="dash"/>
            </a:ln>
          </c:spPr>
          <c:marker>
            <c:symbol val="plus"/>
            <c:size val="3"/>
            <c:spPr>
              <a:solidFill>
                <a:schemeClr val="tx1"/>
              </a:solidFill>
            </c:spPr>
          </c:marker>
          <c:xVal>
            <c:numRef>
              <c:f>'W&amp;B 161'!$I$28:$I$29</c:f>
              <c:numCache>
                <c:formatCode>0.0</c:formatCode>
                <c:ptCount val="2"/>
                <c:pt idx="0">
                  <c:v>83.75</c:v>
                </c:pt>
                <c:pt idx="1">
                  <c:v>93</c:v>
                </c:pt>
              </c:numCache>
            </c:numRef>
          </c:xVal>
          <c:yVal>
            <c:numRef>
              <c:f>'W&amp;B 161'!$J$28:$J$29</c:f>
              <c:numCache>
                <c:formatCode>0.0</c:formatCode>
                <c:ptCount val="2"/>
                <c:pt idx="0">
                  <c:v>2020</c:v>
                </c:pt>
                <c:pt idx="1">
                  <c:v>2020</c:v>
                </c:pt>
              </c:numCache>
            </c:numRef>
          </c:yVal>
        </c:ser>
        <c:axId val="78026240"/>
        <c:axId val="78028160"/>
      </c:scatterChart>
      <c:valAx>
        <c:axId val="78026240"/>
        <c:scaling>
          <c:orientation val="minMax"/>
          <c:max val="94"/>
          <c:min val="82"/>
        </c:scaling>
        <c:axPos val="b"/>
        <c:majorGridlines>
          <c:spPr>
            <a:ln w="3175">
              <a:solidFill>
                <a:srgbClr val="000000"/>
              </a:solidFill>
              <a:prstDash val="solid"/>
            </a:ln>
          </c:spPr>
        </c:majorGridlines>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78028160"/>
        <c:crossesAt val="1200"/>
        <c:crossBetween val="midCat"/>
        <c:majorUnit val="1"/>
        <c:minorUnit val="1"/>
      </c:valAx>
      <c:valAx>
        <c:axId val="78028160"/>
        <c:scaling>
          <c:orientation val="minMax"/>
          <c:max val="2500"/>
          <c:min val="1400"/>
        </c:scaling>
        <c:axPos val="l"/>
        <c:majorGridlines>
          <c:spPr>
            <a:ln w="3175">
              <a:solidFill>
                <a:srgbClr val="000000"/>
              </a:solidFill>
              <a:prstDash val="solid"/>
            </a:ln>
          </c:spPr>
        </c:majorGridlines>
        <c:numFmt formatCode="0.0" sourceLinked="1"/>
        <c:minorTickMark val="out"/>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78026240"/>
        <c:crossesAt val="82"/>
        <c:crossBetween val="midCat"/>
        <c:majorUnit val="100"/>
        <c:minorUnit val="25"/>
      </c:valAx>
      <c:spPr>
        <a:solidFill>
          <a:srgbClr val="FFFFFF"/>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355" r="0.7500000000000035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i="0" u="none" strike="noStrike" baseline="0">
                <a:solidFill>
                  <a:srgbClr val="000000"/>
                </a:solidFill>
                <a:latin typeface="Arial"/>
                <a:ea typeface="Arial"/>
                <a:cs typeface="Arial"/>
              </a:defRPr>
            </a:pPr>
            <a:r>
              <a:rPr lang="en-US"/>
              <a:t>PA-28-161 Full Power Rate of Climb</a:t>
            </a:r>
          </a:p>
        </c:rich>
      </c:tx>
      <c:layout>
        <c:manualLayout>
          <c:xMode val="edge"/>
          <c:yMode val="edge"/>
          <c:x val="0.31881882727540151"/>
          <c:y val="3.3088309542284672E-2"/>
        </c:manualLayout>
      </c:layout>
      <c:spPr>
        <a:noFill/>
        <a:ln w="25400">
          <a:noFill/>
        </a:ln>
      </c:spPr>
    </c:title>
    <c:plotArea>
      <c:layout>
        <c:manualLayout>
          <c:layoutTarget val="inner"/>
          <c:xMode val="edge"/>
          <c:yMode val="edge"/>
          <c:x val="0.16485266190825287"/>
          <c:y val="0.16727978713044023"/>
          <c:w val="0.77449646821048101"/>
          <c:h val="0.66911914852175669"/>
        </c:manualLayout>
      </c:layout>
      <c:scatterChart>
        <c:scatterStyle val="lineMarker"/>
        <c:ser>
          <c:idx val="0"/>
          <c:order val="0"/>
          <c:spPr>
            <a:ln w="12700">
              <a:solidFill>
                <a:srgbClr val="000080"/>
              </a:solidFill>
              <a:prstDash val="solid"/>
            </a:ln>
          </c:spPr>
          <c:marker>
            <c:symbol val="circle"/>
            <c:size val="5"/>
            <c:spPr>
              <a:solidFill>
                <a:srgbClr val="000000"/>
              </a:solidFill>
              <a:ln>
                <a:solidFill>
                  <a:srgbClr val="000000"/>
                </a:solidFill>
                <a:prstDash val="solid"/>
              </a:ln>
            </c:spPr>
          </c:marker>
          <c:dLbls>
            <c:spPr>
              <a:noFill/>
              <a:ln w="25400">
                <a:noFill/>
              </a:ln>
            </c:spPr>
            <c:txPr>
              <a:bodyPr/>
              <a:lstStyle/>
              <a:p>
                <a:pPr>
                  <a:defRPr sz="1200" b="0" i="0" u="none" strike="noStrike" baseline="0">
                    <a:solidFill>
                      <a:srgbClr val="000000"/>
                    </a:solidFill>
                    <a:latin typeface="Arial"/>
                    <a:ea typeface="Arial"/>
                    <a:cs typeface="Arial"/>
                  </a:defRPr>
                </a:pPr>
                <a:endParaRPr lang="en-US"/>
              </a:p>
            </c:txPr>
            <c:showVal val="1"/>
          </c:dLbls>
          <c:xVal>
            <c:numRef>
              <c:f>ROC!$A$14:$A$15</c:f>
              <c:numCache>
                <c:formatCode>0</c:formatCode>
                <c:ptCount val="2"/>
                <c:pt idx="0">
                  <c:v>0</c:v>
                </c:pt>
                <c:pt idx="1">
                  <c:v>15347</c:v>
                </c:pt>
              </c:numCache>
            </c:numRef>
          </c:xVal>
          <c:yVal>
            <c:numRef>
              <c:f>ROC!$B$14:$B$15</c:f>
              <c:numCache>
                <c:formatCode>0.0</c:formatCode>
                <c:ptCount val="2"/>
                <c:pt idx="0">
                  <c:v>706</c:v>
                </c:pt>
                <c:pt idx="1">
                  <c:v>0</c:v>
                </c:pt>
              </c:numCache>
            </c:numRef>
          </c:yVal>
        </c:ser>
        <c:ser>
          <c:idx val="1"/>
          <c:order val="1"/>
          <c:spPr>
            <a:ln w="12700">
              <a:solidFill>
                <a:srgbClr val="FF00FF"/>
              </a:solidFill>
              <a:prstDash val="solid"/>
            </a:ln>
          </c:spPr>
          <c:marker>
            <c:symbol val="circle"/>
            <c:size val="8"/>
            <c:spPr>
              <a:solidFill>
                <a:srgbClr val="000000"/>
              </a:solidFill>
              <a:ln>
                <a:solidFill>
                  <a:srgbClr val="000000"/>
                </a:solidFill>
                <a:prstDash val="solid"/>
              </a:ln>
            </c:spPr>
          </c:marker>
          <c:dLbls>
            <c:spPr>
              <a:noFill/>
              <a:ln w="25400">
                <a:noFill/>
              </a:ln>
            </c:spPr>
            <c:txPr>
              <a:bodyPr/>
              <a:lstStyle/>
              <a:p>
                <a:pPr>
                  <a:defRPr sz="1200" b="0" i="0" u="none" strike="noStrike" baseline="0">
                    <a:solidFill>
                      <a:srgbClr val="000000"/>
                    </a:solidFill>
                    <a:latin typeface="Arial"/>
                    <a:ea typeface="Arial"/>
                    <a:cs typeface="Arial"/>
                  </a:defRPr>
                </a:pPr>
                <a:endParaRPr lang="en-US"/>
              </a:p>
            </c:txPr>
            <c:showVal val="1"/>
          </c:dLbls>
          <c:xVal>
            <c:numRef>
              <c:f>ROC!$B$18</c:f>
              <c:numCache>
                <c:formatCode>0.0</c:formatCode>
                <c:ptCount val="1"/>
                <c:pt idx="0">
                  <c:v>5000</c:v>
                </c:pt>
              </c:numCache>
            </c:numRef>
          </c:xVal>
          <c:yVal>
            <c:numRef>
              <c:f>ROC!$B$19</c:f>
              <c:numCache>
                <c:formatCode>0.0</c:formatCode>
                <c:ptCount val="1"/>
                <c:pt idx="0">
                  <c:v>699.05116896307675</c:v>
                </c:pt>
              </c:numCache>
            </c:numRef>
          </c:yVal>
        </c:ser>
        <c:dLbls>
          <c:showVal val="1"/>
        </c:dLbls>
        <c:axId val="81889536"/>
        <c:axId val="81904000"/>
      </c:scatterChart>
      <c:valAx>
        <c:axId val="81889536"/>
        <c:scaling>
          <c:orientation val="minMax"/>
          <c:max val="18000"/>
          <c:min val="0"/>
        </c:scaling>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Altitude ( feet)</a:t>
                </a:r>
              </a:p>
            </c:rich>
          </c:tx>
          <c:layout>
            <c:manualLayout>
              <c:xMode val="edge"/>
              <c:yMode val="edge"/>
              <c:x val="0.4432359306023792"/>
              <c:y val="0.90073731531774937"/>
            </c:manualLayout>
          </c:layout>
          <c:spPr>
            <a:noFill/>
            <a:ln w="25400">
              <a:noFill/>
            </a:ln>
          </c:spPr>
        </c:title>
        <c:numFmt formatCode="0" sourceLinked="1"/>
        <c:minorTickMark val="cross"/>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81904000"/>
        <c:crossesAt val="0"/>
        <c:crossBetween val="midCat"/>
        <c:majorUnit val="2000"/>
        <c:minorUnit val="500"/>
      </c:valAx>
      <c:valAx>
        <c:axId val="81904000"/>
        <c:scaling>
          <c:orientation val="minMax"/>
          <c:max val="1300"/>
          <c:min val="0"/>
        </c:scaling>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Rate of Climb (FPM)</a:t>
                </a:r>
              </a:p>
            </c:rich>
          </c:tx>
          <c:layout>
            <c:manualLayout>
              <c:xMode val="edge"/>
              <c:yMode val="edge"/>
              <c:x val="2.9549062040158766E-2"/>
              <c:y val="0.32353013774678346"/>
            </c:manualLayout>
          </c:layout>
          <c:spPr>
            <a:noFill/>
            <a:ln w="25400">
              <a:noFill/>
            </a:ln>
          </c:spPr>
        </c:title>
        <c:numFmt formatCode="0" sourceLinked="0"/>
        <c:minorTickMark val="cross"/>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89536"/>
        <c:crossesAt val="0"/>
        <c:crossBetween val="midCat"/>
        <c:majorUnit val="100"/>
        <c:minorUnit val="25"/>
      </c:valAx>
      <c:spPr>
        <a:solidFill>
          <a:srgbClr val="FFFFFF"/>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55" r="0.7500000000000035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384336693865327"/>
          <c:y val="7.9365284405187225E-2"/>
          <c:w val="0.81238705982096271"/>
          <c:h val="0.78307080613118063"/>
        </c:manualLayout>
      </c:layout>
      <c:scatterChart>
        <c:scatterStyle val="lineMarker"/>
        <c:ser>
          <c:idx val="0"/>
          <c:order val="0"/>
          <c:marker>
            <c:symbol val="circle"/>
            <c:size val="7"/>
            <c:spPr>
              <a:solidFill>
                <a:srgbClr val="0000FF"/>
              </a:solidFill>
              <a:ln>
                <a:solidFill>
                  <a:srgbClr val="0000FF"/>
                </a:solidFill>
                <a:prstDash val="solid"/>
              </a:ln>
            </c:spPr>
          </c:marker>
          <c:xVal>
            <c:numRef>
              <c:f>'W&amp;B 180'!$C$9</c:f>
              <c:numCache>
                <c:formatCode>0.0</c:formatCode>
                <c:ptCount val="1"/>
                <c:pt idx="0">
                  <c:v>86.075409309791326</c:v>
                </c:pt>
              </c:numCache>
            </c:numRef>
          </c:xVal>
          <c:yVal>
            <c:numRef>
              <c:f>'W&amp;B 180'!$B$9</c:f>
              <c:numCache>
                <c:formatCode>0.0</c:formatCode>
                <c:ptCount val="1"/>
                <c:pt idx="0">
                  <c:v>2336.25</c:v>
                </c:pt>
              </c:numCache>
            </c:numRef>
          </c:yVal>
        </c:ser>
        <c:ser>
          <c:idx val="1"/>
          <c:order val="1"/>
          <c:tx>
            <c:v>Envelope</c:v>
          </c:tx>
          <c:spPr>
            <a:ln w="31750">
              <a:solidFill>
                <a:schemeClr val="tx1"/>
              </a:solidFill>
            </a:ln>
          </c:spPr>
          <c:marker>
            <c:symbol val="square"/>
            <c:size val="3"/>
            <c:spPr>
              <a:solidFill>
                <a:sysClr val="windowText" lastClr="000000"/>
              </a:solidFill>
            </c:spPr>
          </c:marker>
          <c:xVal>
            <c:numRef>
              <c:f>'W&amp;B 180'!$G$24:$G$28</c:f>
              <c:numCache>
                <c:formatCode>0.0</c:formatCode>
                <c:ptCount val="5"/>
                <c:pt idx="0">
                  <c:v>82</c:v>
                </c:pt>
                <c:pt idx="1">
                  <c:v>82</c:v>
                </c:pt>
                <c:pt idx="2">
                  <c:v>87.4</c:v>
                </c:pt>
                <c:pt idx="3">
                  <c:v>93</c:v>
                </c:pt>
                <c:pt idx="4">
                  <c:v>93</c:v>
                </c:pt>
              </c:numCache>
            </c:numRef>
          </c:xVal>
          <c:yVal>
            <c:numRef>
              <c:f>'W&amp;B 180'!$H$24:$H$28</c:f>
              <c:numCache>
                <c:formatCode>0.0</c:formatCode>
                <c:ptCount val="5"/>
                <c:pt idx="0">
                  <c:v>1400</c:v>
                </c:pt>
                <c:pt idx="1">
                  <c:v>2150</c:v>
                </c:pt>
                <c:pt idx="2">
                  <c:v>2450</c:v>
                </c:pt>
                <c:pt idx="3">
                  <c:v>2450</c:v>
                </c:pt>
                <c:pt idx="4">
                  <c:v>1400</c:v>
                </c:pt>
              </c:numCache>
            </c:numRef>
          </c:yVal>
        </c:ser>
        <c:ser>
          <c:idx val="2"/>
          <c:order val="2"/>
          <c:tx>
            <c:v>Utility</c:v>
          </c:tx>
          <c:spPr>
            <a:ln w="31750">
              <a:solidFill>
                <a:prstClr val="black"/>
              </a:solidFill>
              <a:prstDash val="dash"/>
            </a:ln>
          </c:spPr>
          <c:marker>
            <c:symbol val="square"/>
            <c:size val="3"/>
            <c:spPr>
              <a:solidFill>
                <a:sysClr val="windowText" lastClr="000000"/>
              </a:solidFill>
            </c:spPr>
          </c:marker>
          <c:xVal>
            <c:numRef>
              <c:f>'W&amp;B 180'!$G$29:$G$31</c:f>
              <c:numCache>
                <c:formatCode>0.0</c:formatCode>
                <c:ptCount val="3"/>
                <c:pt idx="0">
                  <c:v>82</c:v>
                </c:pt>
                <c:pt idx="1">
                  <c:v>86.5</c:v>
                </c:pt>
                <c:pt idx="2">
                  <c:v>86.5</c:v>
                </c:pt>
              </c:numCache>
            </c:numRef>
          </c:xVal>
          <c:yVal>
            <c:numRef>
              <c:f>'W&amp;B 180'!$H$29:$H$31</c:f>
              <c:numCache>
                <c:formatCode>0.0</c:formatCode>
                <c:ptCount val="3"/>
                <c:pt idx="0">
                  <c:v>1950</c:v>
                </c:pt>
                <c:pt idx="1">
                  <c:v>1950</c:v>
                </c:pt>
                <c:pt idx="2">
                  <c:v>1400</c:v>
                </c:pt>
              </c:numCache>
            </c:numRef>
          </c:yVal>
        </c:ser>
        <c:axId val="78753792"/>
        <c:axId val="78755712"/>
      </c:scatterChart>
      <c:valAx>
        <c:axId val="78753792"/>
        <c:scaling>
          <c:orientation val="minMax"/>
          <c:max val="94"/>
          <c:min val="81"/>
        </c:scaling>
        <c:axPos val="b"/>
        <c:majorGridlines>
          <c:spPr>
            <a:ln w="3175">
              <a:solidFill>
                <a:srgbClr val="000000"/>
              </a:solidFill>
              <a:prstDash val="solid"/>
            </a:ln>
          </c:spPr>
        </c:majorGridlines>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78755712"/>
        <c:crossesAt val="1200"/>
        <c:crossBetween val="midCat"/>
        <c:majorUnit val="1"/>
        <c:minorUnit val="1"/>
      </c:valAx>
      <c:valAx>
        <c:axId val="78755712"/>
        <c:scaling>
          <c:orientation val="minMax"/>
          <c:max val="2500"/>
          <c:min val="1400"/>
        </c:scaling>
        <c:axPos val="l"/>
        <c:majorGridlines>
          <c:spPr>
            <a:ln w="3175">
              <a:solidFill>
                <a:srgbClr val="000000"/>
              </a:solidFill>
              <a:prstDash val="solid"/>
            </a:ln>
          </c:spPr>
        </c:majorGridlines>
        <c:numFmt formatCode="0.0" sourceLinked="1"/>
        <c:minorTickMark val="out"/>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78753792"/>
        <c:crossesAt val="81"/>
        <c:crossBetween val="midCat"/>
        <c:majorUnit val="100"/>
        <c:minorUnit val="25"/>
      </c:valAx>
      <c:spPr>
        <a:solidFill>
          <a:srgbClr val="FFFFFF"/>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355" r="0.75000000000000355"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i="0" u="none" strike="noStrike" baseline="0">
                <a:solidFill>
                  <a:srgbClr val="000000"/>
                </a:solidFill>
                <a:latin typeface="Arial"/>
                <a:ea typeface="Arial"/>
                <a:cs typeface="Arial"/>
              </a:defRPr>
            </a:pPr>
            <a:r>
              <a:rPr lang="en-US"/>
              <a:t>PA-28-161 Manuvering Speed</a:t>
            </a:r>
          </a:p>
        </c:rich>
      </c:tx>
      <c:layout>
        <c:manualLayout>
          <c:xMode val="edge"/>
          <c:yMode val="edge"/>
          <c:x val="0.26500010782882161"/>
          <c:y val="3.2319421636820535E-2"/>
        </c:manualLayout>
      </c:layout>
      <c:spPr>
        <a:noFill/>
        <a:ln w="25400">
          <a:noFill/>
        </a:ln>
      </c:spPr>
    </c:title>
    <c:plotArea>
      <c:layout>
        <c:manualLayout>
          <c:layoutTarget val="inner"/>
          <c:xMode val="edge"/>
          <c:yMode val="edge"/>
          <c:x val="0.1966667466905708"/>
          <c:y val="0.17300396287945141"/>
          <c:w val="0.73333363172755206"/>
          <c:h val="0.6026621564042417"/>
        </c:manualLayout>
      </c:layout>
      <c:scatterChart>
        <c:scatterStyle val="lineMarker"/>
        <c:ser>
          <c:idx val="0"/>
          <c:order val="0"/>
          <c:spPr>
            <a:ln w="12700">
              <a:solidFill>
                <a:srgbClr val="000080"/>
              </a:solidFill>
              <a:prstDash val="solid"/>
            </a:ln>
          </c:spPr>
          <c:marker>
            <c:symbol val="circle"/>
            <c:size val="5"/>
            <c:spPr>
              <a:solidFill>
                <a:srgbClr val="000000"/>
              </a:solidFill>
              <a:ln>
                <a:solidFill>
                  <a:srgbClr val="000000"/>
                </a:solidFill>
                <a:prstDash val="solid"/>
              </a:ln>
            </c:spPr>
          </c:marker>
          <c:dLbls>
            <c:spPr>
              <a:noFill/>
              <a:ln w="25400">
                <a:noFill/>
              </a:ln>
            </c:spPr>
            <c:txPr>
              <a:bodyPr/>
              <a:lstStyle/>
              <a:p>
                <a:pPr>
                  <a:defRPr sz="1125" b="0" i="0" u="none" strike="noStrike" baseline="0">
                    <a:solidFill>
                      <a:srgbClr val="000000"/>
                    </a:solidFill>
                    <a:latin typeface="Arial"/>
                    <a:ea typeface="Arial"/>
                    <a:cs typeface="Arial"/>
                  </a:defRPr>
                </a:pPr>
                <a:endParaRPr lang="en-US"/>
              </a:p>
            </c:txPr>
            <c:showVal val="1"/>
          </c:dLbls>
          <c:xVal>
            <c:numRef>
              <c:f>Va!$A$4:$A$5</c:f>
              <c:numCache>
                <c:formatCode>0</c:formatCode>
                <c:ptCount val="2"/>
                <c:pt idx="0">
                  <c:v>2325</c:v>
                </c:pt>
                <c:pt idx="1">
                  <c:v>1531</c:v>
                </c:pt>
              </c:numCache>
            </c:numRef>
          </c:xVal>
          <c:yVal>
            <c:numRef>
              <c:f>Va!$B$4:$B$5</c:f>
              <c:numCache>
                <c:formatCode>0.0</c:formatCode>
                <c:ptCount val="2"/>
                <c:pt idx="0">
                  <c:v>111</c:v>
                </c:pt>
                <c:pt idx="1">
                  <c:v>88</c:v>
                </c:pt>
              </c:numCache>
            </c:numRef>
          </c:yVal>
        </c:ser>
        <c:ser>
          <c:idx val="1"/>
          <c:order val="1"/>
          <c:spPr>
            <a:ln w="12700">
              <a:solidFill>
                <a:srgbClr val="FF00FF"/>
              </a:solidFill>
              <a:prstDash val="solid"/>
            </a:ln>
          </c:spPr>
          <c:marker>
            <c:symbol val="circle"/>
            <c:size val="8"/>
            <c:spPr>
              <a:solidFill>
                <a:srgbClr val="000000"/>
              </a:solidFill>
              <a:ln>
                <a:solidFill>
                  <a:srgbClr val="000000"/>
                </a:solidFill>
                <a:prstDash val="solid"/>
              </a:ln>
            </c:spPr>
          </c:marker>
          <c:dLbls>
            <c:spPr>
              <a:noFill/>
              <a:ln w="25400">
                <a:noFill/>
              </a:ln>
            </c:spPr>
            <c:txPr>
              <a:bodyPr/>
              <a:lstStyle/>
              <a:p>
                <a:pPr>
                  <a:defRPr sz="1125" b="0" i="0" u="none" strike="noStrike" baseline="0">
                    <a:solidFill>
                      <a:srgbClr val="000000"/>
                    </a:solidFill>
                    <a:latin typeface="Arial"/>
                    <a:ea typeface="Arial"/>
                    <a:cs typeface="Arial"/>
                  </a:defRPr>
                </a:pPr>
                <a:endParaRPr lang="en-US"/>
              </a:p>
            </c:txPr>
            <c:showVal val="1"/>
          </c:dLbls>
          <c:xVal>
            <c:numRef>
              <c:f>Va!$A$8</c:f>
              <c:numCache>
                <c:formatCode>0.0</c:formatCode>
                <c:ptCount val="1"/>
                <c:pt idx="0">
                  <c:v>2002.9</c:v>
                </c:pt>
              </c:numCache>
            </c:numRef>
          </c:xVal>
          <c:yVal>
            <c:numRef>
              <c:f>Va!$B$8</c:f>
              <c:numCache>
                <c:formatCode>0.0</c:formatCode>
                <c:ptCount val="1"/>
                <c:pt idx="0">
                  <c:v>101.66964735516373</c:v>
                </c:pt>
              </c:numCache>
            </c:numRef>
          </c:yVal>
        </c:ser>
        <c:dLbls>
          <c:showVal val="1"/>
        </c:dLbls>
        <c:axId val="80587392"/>
        <c:axId val="50922240"/>
      </c:scatterChart>
      <c:valAx>
        <c:axId val="80587392"/>
        <c:scaling>
          <c:orientation val="minMax"/>
          <c:max val="2400"/>
          <c:min val="1500"/>
        </c:scaling>
        <c:axPos val="b"/>
        <c:majorGridlines>
          <c:spPr>
            <a:ln w="3175">
              <a:solidFill>
                <a:srgbClr val="000000"/>
              </a:solidFill>
              <a:prstDash val="solid"/>
            </a:ln>
          </c:spPr>
        </c:majorGridlines>
        <c:title>
          <c:tx>
            <c:rich>
              <a:bodyPr/>
              <a:lstStyle/>
              <a:p>
                <a:pPr>
                  <a:defRPr sz="1125" b="1" i="0" u="none" strike="noStrike" baseline="0">
                    <a:solidFill>
                      <a:srgbClr val="000000"/>
                    </a:solidFill>
                    <a:latin typeface="Arial"/>
                    <a:ea typeface="Arial"/>
                    <a:cs typeface="Arial"/>
                  </a:defRPr>
                </a:pPr>
                <a:r>
                  <a:rPr lang="en-US"/>
                  <a:t>Weight (lbs)</a:t>
                </a:r>
              </a:p>
            </c:rich>
          </c:tx>
          <c:layout>
            <c:manualLayout>
              <c:xMode val="edge"/>
              <c:yMode val="edge"/>
              <c:x val="0.46833352389873201"/>
              <c:y val="0.90494380583097467"/>
            </c:manualLayout>
          </c:layout>
          <c:spPr>
            <a:noFill/>
            <a:ln w="25400">
              <a:noFill/>
            </a:ln>
          </c:spPr>
        </c:title>
        <c:numFmt formatCode="0" sourceLinked="1"/>
        <c:minorTickMark val="cross"/>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50922240"/>
        <c:crosses val="autoZero"/>
        <c:crossBetween val="midCat"/>
        <c:majorUnit val="100"/>
        <c:minorUnit val="50"/>
      </c:valAx>
      <c:valAx>
        <c:axId val="50922240"/>
        <c:scaling>
          <c:orientation val="minMax"/>
          <c:min val="85"/>
        </c:scaling>
        <c:axPos val="l"/>
        <c:majorGridlines>
          <c:spPr>
            <a:ln w="3175">
              <a:solidFill>
                <a:srgbClr val="000000"/>
              </a:solidFill>
              <a:prstDash val="solid"/>
            </a:ln>
          </c:spPr>
        </c:majorGridlines>
        <c:title>
          <c:tx>
            <c:rich>
              <a:bodyPr/>
              <a:lstStyle/>
              <a:p>
                <a:pPr>
                  <a:defRPr sz="1125" b="1" i="0" u="none" strike="noStrike" baseline="0">
                    <a:solidFill>
                      <a:srgbClr val="000000"/>
                    </a:solidFill>
                    <a:latin typeface="Arial"/>
                    <a:ea typeface="Arial"/>
                    <a:cs typeface="Arial"/>
                  </a:defRPr>
                </a:pPr>
                <a:r>
                  <a:rPr lang="en-US"/>
                  <a:t>KIAS</a:t>
                </a:r>
              </a:p>
            </c:rich>
          </c:tx>
          <c:layout>
            <c:manualLayout>
              <c:xMode val="edge"/>
              <c:yMode val="edge"/>
              <c:x val="3.1666679551871586E-2"/>
              <c:y val="0.42585590862634098"/>
            </c:manualLayout>
          </c:layout>
          <c:spPr>
            <a:noFill/>
            <a:ln w="25400">
              <a:noFill/>
            </a:ln>
          </c:spPr>
        </c:title>
        <c:numFmt formatCode="0.0" sourceLinked="1"/>
        <c:minorTickMark val="cross"/>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80587392"/>
        <c:crosses val="autoZero"/>
        <c:crossBetween val="midCat"/>
        <c:majorUnit val="5"/>
        <c:minorUnit val="1"/>
      </c:valAx>
      <c:spPr>
        <a:solidFill>
          <a:srgbClr val="FFFFFF"/>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0355" r="0.7500000000000035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i="0" u="none" strike="noStrike" baseline="0">
                <a:solidFill>
                  <a:srgbClr val="000000"/>
                </a:solidFill>
                <a:latin typeface="Arial"/>
                <a:ea typeface="Arial"/>
                <a:cs typeface="Arial"/>
              </a:defRPr>
            </a:pPr>
            <a:r>
              <a:rPr lang="en-US"/>
              <a:t>PA-28-161 Manuvering Speed</a:t>
            </a:r>
          </a:p>
        </c:rich>
      </c:tx>
      <c:layout>
        <c:manualLayout>
          <c:xMode val="edge"/>
          <c:yMode val="edge"/>
          <c:x val="0.38979885968360412"/>
          <c:y val="6.4666870430475323E-2"/>
        </c:manualLayout>
      </c:layout>
      <c:spPr>
        <a:noFill/>
        <a:ln w="25400">
          <a:noFill/>
        </a:ln>
      </c:spPr>
    </c:title>
    <c:plotArea>
      <c:layout>
        <c:manualLayout>
          <c:layoutTarget val="inner"/>
          <c:xMode val="edge"/>
          <c:yMode val="edge"/>
          <c:x val="0.11883529655411459"/>
          <c:y val="0.17300396369122994"/>
          <c:w val="0.76553976948533609"/>
          <c:h val="0.6950835916767335"/>
        </c:manualLayout>
      </c:layout>
      <c:scatterChart>
        <c:scatterStyle val="lineMarker"/>
        <c:ser>
          <c:idx val="0"/>
          <c:order val="0"/>
          <c:tx>
            <c:v>2335</c:v>
          </c:tx>
          <c:xVal>
            <c:numRef>
              <c:f>Va!$A$22:$A$30</c:f>
              <c:numCache>
                <c:formatCode>0.0</c:formatCode>
                <c:ptCount val="9"/>
                <c:pt idx="0">
                  <c:v>2325</c:v>
                </c:pt>
                <c:pt idx="1">
                  <c:v>2225</c:v>
                </c:pt>
                <c:pt idx="2">
                  <c:v>2125</c:v>
                </c:pt>
                <c:pt idx="3">
                  <c:v>2025</c:v>
                </c:pt>
                <c:pt idx="4">
                  <c:v>1925</c:v>
                </c:pt>
                <c:pt idx="5">
                  <c:v>1825</c:v>
                </c:pt>
                <c:pt idx="6">
                  <c:v>1725</c:v>
                </c:pt>
                <c:pt idx="7">
                  <c:v>1625</c:v>
                </c:pt>
                <c:pt idx="8">
                  <c:v>1525</c:v>
                </c:pt>
              </c:numCache>
            </c:numRef>
          </c:xVal>
          <c:yVal>
            <c:numRef>
              <c:f>Va!$B$22:$B$30</c:f>
              <c:numCache>
                <c:formatCode>0.0</c:formatCode>
                <c:ptCount val="9"/>
                <c:pt idx="0">
                  <c:v>111</c:v>
                </c:pt>
                <c:pt idx="1">
                  <c:v>108.58666822464455</c:v>
                </c:pt>
                <c:pt idx="2">
                  <c:v>106.11846697091919</c:v>
                </c:pt>
                <c:pt idx="3">
                  <c:v>103.59147430356948</c:v>
                </c:pt>
                <c:pt idx="4">
                  <c:v>101.00127753902981</c:v>
                </c:pt>
                <c:pt idx="5">
                  <c:v>98.34288271474027</c:v>
                </c:pt>
                <c:pt idx="6">
                  <c:v>95.610601382766092</c:v>
                </c:pt>
                <c:pt idx="7">
                  <c:v>92.797907373513695</c:v>
                </c:pt>
                <c:pt idx="8">
                  <c:v>89.897253178460673</c:v>
                </c:pt>
              </c:numCache>
            </c:numRef>
          </c:yVal>
        </c:ser>
        <c:ser>
          <c:idx val="1"/>
          <c:order val="1"/>
          <c:tx>
            <c:v>1531</c:v>
          </c:tx>
          <c:xVal>
            <c:numRef>
              <c:f>Va!$A$33:$A$41</c:f>
              <c:numCache>
                <c:formatCode>0.0</c:formatCode>
                <c:ptCount val="9"/>
                <c:pt idx="0">
                  <c:v>1531</c:v>
                </c:pt>
                <c:pt idx="1">
                  <c:v>1631</c:v>
                </c:pt>
                <c:pt idx="2">
                  <c:v>1731</c:v>
                </c:pt>
                <c:pt idx="3">
                  <c:v>1831</c:v>
                </c:pt>
                <c:pt idx="4">
                  <c:v>1931</c:v>
                </c:pt>
                <c:pt idx="5">
                  <c:v>2031</c:v>
                </c:pt>
                <c:pt idx="6">
                  <c:v>2131</c:v>
                </c:pt>
                <c:pt idx="7">
                  <c:v>2231</c:v>
                </c:pt>
                <c:pt idx="8">
                  <c:v>2331</c:v>
                </c:pt>
              </c:numCache>
            </c:numRef>
          </c:xVal>
          <c:yVal>
            <c:numRef>
              <c:f>Va!$B$33:$B$41</c:f>
              <c:numCache>
                <c:formatCode>0.0</c:formatCode>
                <c:ptCount val="9"/>
                <c:pt idx="0">
                  <c:v>88</c:v>
                </c:pt>
                <c:pt idx="1">
                  <c:v>90.828482283867615</c:v>
                </c:pt>
                <c:pt idx="2">
                  <c:v>93.571504145128017</c:v>
                </c:pt>
                <c:pt idx="3">
                  <c:v>96.236373487224498</c:v>
                </c:pt>
                <c:pt idx="4">
                  <c:v>98.829412504392764</c:v>
                </c:pt>
                <c:pt idx="5">
                  <c:v>101.3561343479233</c:v>
                </c:pt>
                <c:pt idx="6">
                  <c:v>103.82138105392904</c:v>
                </c:pt>
                <c:pt idx="7">
                  <c:v>106.22943263491521</c:v>
                </c:pt>
                <c:pt idx="8">
                  <c:v>108.58409437816776</c:v>
                </c:pt>
              </c:numCache>
            </c:numRef>
          </c:yVal>
        </c:ser>
        <c:ser>
          <c:idx val="2"/>
          <c:order val="2"/>
          <c:tx>
            <c:v>Linear</c:v>
          </c:tx>
          <c:xVal>
            <c:numRef>
              <c:f>Va!$A$4:$A$5</c:f>
              <c:numCache>
                <c:formatCode>0</c:formatCode>
                <c:ptCount val="2"/>
                <c:pt idx="0">
                  <c:v>2325</c:v>
                </c:pt>
                <c:pt idx="1">
                  <c:v>1531</c:v>
                </c:pt>
              </c:numCache>
            </c:numRef>
          </c:xVal>
          <c:yVal>
            <c:numRef>
              <c:f>Va!$B$4:$B$5</c:f>
              <c:numCache>
                <c:formatCode>0.0</c:formatCode>
                <c:ptCount val="2"/>
                <c:pt idx="0">
                  <c:v>111</c:v>
                </c:pt>
                <c:pt idx="1">
                  <c:v>88</c:v>
                </c:pt>
              </c:numCache>
            </c:numRef>
          </c:yVal>
        </c:ser>
        <c:dLbls>
          <c:showVal val="1"/>
        </c:dLbls>
        <c:axId val="50953216"/>
        <c:axId val="50959488"/>
      </c:scatterChart>
      <c:valAx>
        <c:axId val="50953216"/>
        <c:scaling>
          <c:orientation val="minMax"/>
          <c:max val="2400"/>
          <c:min val="1500"/>
        </c:scaling>
        <c:axPos val="b"/>
        <c:majorGridlines>
          <c:spPr>
            <a:ln w="3175">
              <a:solidFill>
                <a:srgbClr val="000000"/>
              </a:solidFill>
              <a:prstDash val="solid"/>
            </a:ln>
          </c:spPr>
        </c:majorGridlines>
        <c:title>
          <c:tx>
            <c:rich>
              <a:bodyPr/>
              <a:lstStyle/>
              <a:p>
                <a:pPr>
                  <a:defRPr sz="1125" b="1" i="0" u="none" strike="noStrike" baseline="0">
                    <a:solidFill>
                      <a:srgbClr val="000000"/>
                    </a:solidFill>
                    <a:latin typeface="Arial"/>
                    <a:ea typeface="Arial"/>
                    <a:cs typeface="Arial"/>
                  </a:defRPr>
                </a:pPr>
                <a:r>
                  <a:rPr lang="en-US"/>
                  <a:t>Weight (lbs)</a:t>
                </a:r>
              </a:p>
            </c:rich>
          </c:tx>
          <c:layout>
            <c:manualLayout>
              <c:xMode val="edge"/>
              <c:yMode val="edge"/>
              <c:x val="0.46967542402610279"/>
              <c:y val="0.9218877503990377"/>
            </c:manualLayout>
          </c:layout>
          <c:spPr>
            <a:noFill/>
            <a:ln w="25400">
              <a:noFill/>
            </a:ln>
          </c:spPr>
        </c:title>
        <c:numFmt formatCode="0" sourceLinked="0"/>
        <c:minorTickMark val="cross"/>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50959488"/>
        <c:crosses val="autoZero"/>
        <c:crossBetween val="midCat"/>
        <c:majorUnit val="100"/>
        <c:minorUnit val="50"/>
      </c:valAx>
      <c:valAx>
        <c:axId val="50959488"/>
        <c:scaling>
          <c:orientation val="minMax"/>
          <c:min val="85"/>
        </c:scaling>
        <c:axPos val="l"/>
        <c:majorGridlines>
          <c:spPr>
            <a:ln w="3175">
              <a:solidFill>
                <a:srgbClr val="000000"/>
              </a:solidFill>
              <a:prstDash val="solid"/>
            </a:ln>
          </c:spPr>
        </c:majorGridlines>
        <c:title>
          <c:tx>
            <c:rich>
              <a:bodyPr/>
              <a:lstStyle/>
              <a:p>
                <a:pPr>
                  <a:defRPr sz="1125" b="1" i="0" u="none" strike="noStrike" baseline="0">
                    <a:solidFill>
                      <a:srgbClr val="000000"/>
                    </a:solidFill>
                    <a:latin typeface="Arial"/>
                    <a:ea typeface="Arial"/>
                    <a:cs typeface="Arial"/>
                  </a:defRPr>
                </a:pPr>
                <a:r>
                  <a:rPr lang="en-US"/>
                  <a:t>KIAS</a:t>
                </a:r>
              </a:p>
            </c:rich>
          </c:tx>
          <c:layout>
            <c:manualLayout>
              <c:xMode val="edge"/>
              <c:yMode val="edge"/>
              <c:x val="2.7640944036584802E-2"/>
              <c:y val="0.49209129588930933"/>
            </c:manualLayout>
          </c:layout>
          <c:spPr>
            <a:noFill/>
            <a:ln w="25400">
              <a:noFill/>
            </a:ln>
          </c:spPr>
        </c:title>
        <c:numFmt formatCode="0.0" sourceLinked="1"/>
        <c:minorTickMark val="cross"/>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50953216"/>
        <c:crosses val="autoZero"/>
        <c:crossBetween val="midCat"/>
        <c:majorUnit val="5"/>
        <c:minorUnit val="1"/>
      </c:valAx>
      <c:spPr>
        <a:solidFill>
          <a:srgbClr val="FFFFFF"/>
        </a:solidFill>
        <a:ln w="12700">
          <a:solidFill>
            <a:srgbClr val="808080"/>
          </a:solidFill>
          <a:prstDash val="solid"/>
        </a:ln>
      </c:spPr>
    </c:plotArea>
    <c:legend>
      <c:legendPos val="r"/>
    </c:legend>
    <c:plotVisOnly val="1"/>
    <c:dispBlanksAs val="gap"/>
  </c:chart>
  <c:spPr>
    <a:solidFill>
      <a:srgbClr val="FFFFFF"/>
    </a:solidFill>
    <a:ln w="3175">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75" b="1" i="0" u="none" strike="noStrike" baseline="0">
                <a:solidFill>
                  <a:srgbClr val="000000"/>
                </a:solidFill>
                <a:latin typeface="Arial"/>
                <a:ea typeface="Arial"/>
                <a:cs typeface="Arial"/>
              </a:defRPr>
            </a:pPr>
            <a:r>
              <a:rPr lang="en-US"/>
              <a:t>PA-28-161 Stall Speed, Full Flaps (40)</a:t>
            </a:r>
          </a:p>
        </c:rich>
      </c:tx>
      <c:layout>
        <c:manualLayout>
          <c:xMode val="edge"/>
          <c:yMode val="edge"/>
          <c:x val="0.29375039219908688"/>
          <c:y val="3.3797241306002833E-2"/>
        </c:manualLayout>
      </c:layout>
      <c:spPr>
        <a:noFill/>
        <a:ln w="25400">
          <a:noFill/>
        </a:ln>
      </c:spPr>
    </c:title>
    <c:plotArea>
      <c:layout>
        <c:manualLayout>
          <c:layoutTarget val="inner"/>
          <c:xMode val="edge"/>
          <c:yMode val="edge"/>
          <c:x val="0.13906268566871638"/>
          <c:y val="0.15506969540401341"/>
          <c:w val="0.80625107646132532"/>
          <c:h val="0.68389711819205734"/>
        </c:manualLayout>
      </c:layout>
      <c:scatterChart>
        <c:scatterStyle val="lineMarker"/>
        <c:ser>
          <c:idx val="0"/>
          <c:order val="0"/>
          <c:spPr>
            <a:ln w="12700">
              <a:solidFill>
                <a:srgbClr val="000080"/>
              </a:solidFill>
              <a:prstDash val="solid"/>
            </a:ln>
          </c:spPr>
          <c:marker>
            <c:symbol val="circle"/>
            <c:size val="5"/>
            <c:spPr>
              <a:solidFill>
                <a:srgbClr val="000000"/>
              </a:solidFill>
              <a:ln>
                <a:solidFill>
                  <a:srgbClr val="000000"/>
                </a:solidFill>
                <a:prstDash val="solid"/>
              </a:ln>
            </c:spPr>
          </c:marker>
          <c:dLbls>
            <c:spPr>
              <a:noFill/>
              <a:ln w="25400">
                <a:noFill/>
              </a:ln>
            </c:spPr>
            <c:txPr>
              <a:bodyPr/>
              <a:lstStyle/>
              <a:p>
                <a:pPr>
                  <a:defRPr sz="1200" b="0" i="0" u="none" strike="noStrike" baseline="0">
                    <a:solidFill>
                      <a:srgbClr val="000000"/>
                    </a:solidFill>
                    <a:latin typeface="Arial"/>
                    <a:ea typeface="Arial"/>
                    <a:cs typeface="Arial"/>
                  </a:defRPr>
                </a:pPr>
                <a:endParaRPr lang="en-US"/>
              </a:p>
            </c:txPr>
            <c:showVal val="1"/>
          </c:dLbls>
          <c:xVal>
            <c:numRef>
              <c:f>Vs!$A$4:$A$5</c:f>
              <c:numCache>
                <c:formatCode>0</c:formatCode>
                <c:ptCount val="2"/>
                <c:pt idx="0">
                  <c:v>2325</c:v>
                </c:pt>
                <c:pt idx="1">
                  <c:v>1600</c:v>
                </c:pt>
              </c:numCache>
            </c:numRef>
          </c:xVal>
          <c:yVal>
            <c:numRef>
              <c:f>Vs!$B$4:$B$5</c:f>
              <c:numCache>
                <c:formatCode>0.0</c:formatCode>
                <c:ptCount val="2"/>
                <c:pt idx="0">
                  <c:v>44</c:v>
                </c:pt>
                <c:pt idx="1">
                  <c:v>37</c:v>
                </c:pt>
              </c:numCache>
            </c:numRef>
          </c:yVal>
        </c:ser>
        <c:ser>
          <c:idx val="1"/>
          <c:order val="1"/>
          <c:spPr>
            <a:ln w="12700">
              <a:solidFill>
                <a:srgbClr val="FF00FF"/>
              </a:solidFill>
              <a:prstDash val="solid"/>
            </a:ln>
          </c:spPr>
          <c:marker>
            <c:symbol val="circle"/>
            <c:size val="8"/>
            <c:spPr>
              <a:solidFill>
                <a:srgbClr val="000000"/>
              </a:solidFill>
              <a:ln>
                <a:solidFill>
                  <a:srgbClr val="000000"/>
                </a:solidFill>
                <a:prstDash val="solid"/>
              </a:ln>
            </c:spPr>
          </c:marker>
          <c:dLbls>
            <c:spPr>
              <a:noFill/>
              <a:ln w="25400">
                <a:noFill/>
              </a:ln>
            </c:spPr>
            <c:txPr>
              <a:bodyPr/>
              <a:lstStyle/>
              <a:p>
                <a:pPr>
                  <a:defRPr sz="1200" b="0" i="0" u="none" strike="noStrike" baseline="0">
                    <a:solidFill>
                      <a:srgbClr val="000000"/>
                    </a:solidFill>
                    <a:latin typeface="Arial"/>
                    <a:ea typeface="Arial"/>
                    <a:cs typeface="Arial"/>
                  </a:defRPr>
                </a:pPr>
                <a:endParaRPr lang="en-US"/>
              </a:p>
            </c:txPr>
            <c:showVal val="1"/>
          </c:dLbls>
          <c:xVal>
            <c:numRef>
              <c:f>Vs!$A$8</c:f>
              <c:numCache>
                <c:formatCode>0.0</c:formatCode>
                <c:ptCount val="1"/>
                <c:pt idx="0">
                  <c:v>0</c:v>
                </c:pt>
              </c:numCache>
            </c:numRef>
          </c:xVal>
          <c:yVal>
            <c:numRef>
              <c:f>Vs!$B$8</c:f>
              <c:numCache>
                <c:formatCode>0.0</c:formatCode>
                <c:ptCount val="1"/>
                <c:pt idx="0">
                  <c:v>0</c:v>
                </c:pt>
              </c:numCache>
            </c:numRef>
          </c:yVal>
        </c:ser>
        <c:dLbls>
          <c:showVal val="1"/>
        </c:dLbls>
        <c:axId val="80738944"/>
        <c:axId val="80749312"/>
      </c:scatterChart>
      <c:valAx>
        <c:axId val="80738944"/>
        <c:scaling>
          <c:orientation val="minMax"/>
          <c:max val="2500"/>
          <c:min val="1500"/>
        </c:scaling>
        <c:axPos val="b"/>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n-US"/>
                  <a:t>Weight (lbs)</a:t>
                </a:r>
              </a:p>
            </c:rich>
          </c:tx>
          <c:layout>
            <c:manualLayout>
              <c:xMode val="edge"/>
              <c:yMode val="edge"/>
              <c:x val="0.47343813210810176"/>
              <c:y val="0.9085493692260761"/>
            </c:manualLayout>
          </c:layout>
          <c:spPr>
            <a:noFill/>
            <a:ln w="25400">
              <a:noFill/>
            </a:ln>
          </c:spPr>
        </c:title>
        <c:numFmt formatCode="0" sourceLinked="1"/>
        <c:minorTickMark val="cross"/>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80749312"/>
        <c:crossesAt val="30"/>
        <c:crossBetween val="midCat"/>
        <c:majorUnit val="100"/>
        <c:minorUnit val="50"/>
      </c:valAx>
      <c:valAx>
        <c:axId val="80749312"/>
        <c:scaling>
          <c:orientation val="minMax"/>
          <c:max val="60"/>
          <c:min val="30"/>
        </c:scaling>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n-US"/>
                  <a:t>KIAS</a:t>
                </a:r>
              </a:p>
            </c:rich>
          </c:tx>
          <c:layout>
            <c:manualLayout>
              <c:xMode val="edge"/>
              <c:yMode val="edge"/>
              <c:x val="2.9687539637141689E-2"/>
              <c:y val="0.45924486715803847"/>
            </c:manualLayout>
          </c:layout>
          <c:spPr>
            <a:noFill/>
            <a:ln w="25400">
              <a:noFill/>
            </a:ln>
          </c:spPr>
        </c:title>
        <c:numFmt formatCode="0.0" sourceLinked="1"/>
        <c:minorTickMark val="cross"/>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80738944"/>
        <c:crosses val="autoZero"/>
        <c:crossBetween val="midCat"/>
        <c:majorUnit val="5"/>
        <c:minorUnit val="1"/>
      </c:valAx>
      <c:spPr>
        <a:solidFill>
          <a:srgbClr val="FFFFFF"/>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55" r="0.7500000000000035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Arial"/>
                <a:ea typeface="Arial"/>
                <a:cs typeface="Arial"/>
              </a:defRPr>
            </a:pPr>
            <a:r>
              <a:rPr lang="en-US"/>
              <a:t>PA-28-161 Stall Speed, No Flaps (0)</a:t>
            </a:r>
          </a:p>
        </c:rich>
      </c:tx>
      <c:layout>
        <c:manualLayout>
          <c:xMode val="edge"/>
          <c:yMode val="edge"/>
          <c:x val="0.2796878734235983"/>
          <c:y val="3.406821961359148E-2"/>
        </c:manualLayout>
      </c:layout>
      <c:spPr>
        <a:noFill/>
        <a:ln w="25400">
          <a:noFill/>
        </a:ln>
      </c:spPr>
    </c:title>
    <c:plotArea>
      <c:layout>
        <c:manualLayout>
          <c:layoutTarget val="inner"/>
          <c:xMode val="edge"/>
          <c:yMode val="edge"/>
          <c:x val="0.1515627023580392"/>
          <c:y val="0.16432905931261768"/>
          <c:w val="0.78906355351350643"/>
          <c:h val="0.65932025016892182"/>
        </c:manualLayout>
      </c:layout>
      <c:scatterChart>
        <c:scatterStyle val="lineMarker"/>
        <c:ser>
          <c:idx val="0"/>
          <c:order val="0"/>
          <c:spPr>
            <a:ln w="12700">
              <a:solidFill>
                <a:srgbClr val="000080"/>
              </a:solidFill>
              <a:prstDash val="solid"/>
            </a:ln>
          </c:spPr>
          <c:marker>
            <c:symbol val="circle"/>
            <c:size val="5"/>
            <c:spPr>
              <a:solidFill>
                <a:srgbClr val="000000"/>
              </a:solidFill>
              <a:ln>
                <a:solidFill>
                  <a:srgbClr val="000000"/>
                </a:solidFill>
                <a:prstDash val="solid"/>
              </a:ln>
            </c:spPr>
          </c:marker>
          <c:dLbls>
            <c:spPr>
              <a:noFill/>
              <a:ln w="25400">
                <a:noFill/>
              </a:ln>
            </c:spPr>
            <c:txPr>
              <a:bodyPr/>
              <a:lstStyle/>
              <a:p>
                <a:pPr>
                  <a:defRPr sz="1200" b="0" i="0" u="none" strike="noStrike" baseline="0">
                    <a:solidFill>
                      <a:srgbClr val="000000"/>
                    </a:solidFill>
                    <a:latin typeface="Arial"/>
                    <a:ea typeface="Arial"/>
                    <a:cs typeface="Arial"/>
                  </a:defRPr>
                </a:pPr>
                <a:endParaRPr lang="en-US"/>
              </a:p>
            </c:txPr>
            <c:showVal val="1"/>
          </c:dLbls>
          <c:xVal>
            <c:numRef>
              <c:f>Vs!$A$32:$A$33</c:f>
              <c:numCache>
                <c:formatCode>0</c:formatCode>
                <c:ptCount val="2"/>
                <c:pt idx="0">
                  <c:v>2325</c:v>
                </c:pt>
                <c:pt idx="1">
                  <c:v>1600</c:v>
                </c:pt>
              </c:numCache>
            </c:numRef>
          </c:xVal>
          <c:yVal>
            <c:numRef>
              <c:f>Vs!$B$32:$B$33</c:f>
              <c:numCache>
                <c:formatCode>0.0</c:formatCode>
                <c:ptCount val="2"/>
                <c:pt idx="0">
                  <c:v>50</c:v>
                </c:pt>
                <c:pt idx="1">
                  <c:v>42</c:v>
                </c:pt>
              </c:numCache>
            </c:numRef>
          </c:yVal>
        </c:ser>
        <c:ser>
          <c:idx val="1"/>
          <c:order val="1"/>
          <c:spPr>
            <a:ln w="12700">
              <a:solidFill>
                <a:srgbClr val="FF00FF"/>
              </a:solidFill>
              <a:prstDash val="solid"/>
            </a:ln>
          </c:spPr>
          <c:marker>
            <c:symbol val="circle"/>
            <c:size val="8"/>
            <c:spPr>
              <a:solidFill>
                <a:srgbClr val="000000"/>
              </a:solidFill>
              <a:ln>
                <a:solidFill>
                  <a:srgbClr val="000000"/>
                </a:solidFill>
                <a:prstDash val="solid"/>
              </a:ln>
            </c:spPr>
          </c:marker>
          <c:dLbls>
            <c:spPr>
              <a:noFill/>
              <a:ln w="25400">
                <a:noFill/>
              </a:ln>
            </c:spPr>
            <c:txPr>
              <a:bodyPr/>
              <a:lstStyle/>
              <a:p>
                <a:pPr>
                  <a:defRPr sz="1200" b="0" i="0" u="none" strike="noStrike" baseline="0">
                    <a:solidFill>
                      <a:srgbClr val="000000"/>
                    </a:solidFill>
                    <a:latin typeface="Arial"/>
                    <a:ea typeface="Arial"/>
                    <a:cs typeface="Arial"/>
                  </a:defRPr>
                </a:pPr>
                <a:endParaRPr lang="en-US"/>
              </a:p>
            </c:txPr>
            <c:showVal val="1"/>
          </c:dLbls>
          <c:xVal>
            <c:numRef>
              <c:f>Vs!$A$36</c:f>
              <c:numCache>
                <c:formatCode>0.0</c:formatCode>
                <c:ptCount val="1"/>
                <c:pt idx="0">
                  <c:v>2002.9</c:v>
                </c:pt>
              </c:numCache>
            </c:numRef>
          </c:xVal>
          <c:yVal>
            <c:numRef>
              <c:f>Vs!$B$36</c:f>
              <c:numCache>
                <c:formatCode>0.0</c:formatCode>
                <c:ptCount val="1"/>
                <c:pt idx="0">
                  <c:v>46.445793103448274</c:v>
                </c:pt>
              </c:numCache>
            </c:numRef>
          </c:yVal>
        </c:ser>
        <c:dLbls>
          <c:showVal val="1"/>
        </c:dLbls>
        <c:axId val="80795520"/>
        <c:axId val="80822272"/>
      </c:scatterChart>
      <c:valAx>
        <c:axId val="80795520"/>
        <c:scaling>
          <c:orientation val="minMax"/>
          <c:max val="2500"/>
          <c:min val="1500"/>
        </c:scaling>
        <c:axPos val="b"/>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Weight (lbs)</a:t>
                </a:r>
              </a:p>
            </c:rich>
          </c:tx>
          <c:layout>
            <c:manualLayout>
              <c:xMode val="edge"/>
              <c:yMode val="edge"/>
              <c:x val="0.46562562167727684"/>
              <c:y val="0.90380982621940364"/>
            </c:manualLayout>
          </c:layout>
          <c:spPr>
            <a:noFill/>
            <a:ln w="25400">
              <a:noFill/>
            </a:ln>
          </c:spPr>
        </c:title>
        <c:numFmt formatCode="0" sourceLinked="1"/>
        <c:minorTickMark val="cross"/>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0822272"/>
        <c:crossesAt val="30"/>
        <c:crossBetween val="midCat"/>
        <c:majorUnit val="100"/>
        <c:minorUnit val="50"/>
      </c:valAx>
      <c:valAx>
        <c:axId val="80822272"/>
        <c:scaling>
          <c:orientation val="minMax"/>
          <c:max val="60"/>
          <c:min val="30"/>
        </c:scaling>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KIAS</a:t>
                </a:r>
              </a:p>
            </c:rich>
          </c:tx>
          <c:layout>
            <c:manualLayout>
              <c:xMode val="edge"/>
              <c:yMode val="edge"/>
              <c:x val="2.9687539637141689E-2"/>
              <c:y val="0.44889889373203085"/>
            </c:manualLayout>
          </c:layout>
          <c:spPr>
            <a:noFill/>
            <a:ln w="25400">
              <a:noFill/>
            </a:ln>
          </c:spPr>
        </c:title>
        <c:numFmt formatCode="0.0" sourceLinked="1"/>
        <c:minorTickMark val="cross"/>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0795520"/>
        <c:crosses val="autoZero"/>
        <c:crossBetween val="midCat"/>
        <c:majorUnit val="5"/>
        <c:minorUnit val="1"/>
      </c:valAx>
      <c:spPr>
        <a:solidFill>
          <a:srgbClr val="FFFFFF"/>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55" r="0.7500000000000035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Arial"/>
                <a:ea typeface="Arial"/>
                <a:cs typeface="Arial"/>
              </a:defRPr>
            </a:pPr>
            <a:r>
              <a:t>PA-28-161 Stall Speed, Full Flaps (40)</a:t>
            </a:r>
          </a:p>
        </c:rich>
      </c:tx>
      <c:layout>
        <c:manualLayout>
          <c:xMode val="edge"/>
          <c:yMode val="edge"/>
          <c:x val="0.26976754397087882"/>
          <c:y val="3.3663423297291467E-2"/>
        </c:manualLayout>
      </c:layout>
      <c:spPr>
        <a:noFill/>
        <a:ln w="25400">
          <a:noFill/>
        </a:ln>
      </c:spPr>
    </c:title>
    <c:plotArea>
      <c:layout>
        <c:manualLayout>
          <c:layoutTarget val="inner"/>
          <c:xMode val="edge"/>
          <c:yMode val="edge"/>
          <c:x val="0.16434114747651241"/>
          <c:y val="0.16633691511602874"/>
          <c:w val="0.77674448005408947"/>
          <c:h val="0.65940705635283214"/>
        </c:manualLayout>
      </c:layout>
      <c:scatterChart>
        <c:scatterStyle val="lineMarker"/>
        <c:ser>
          <c:idx val="0"/>
          <c:order val="0"/>
          <c:spPr>
            <a:ln w="12700">
              <a:solidFill>
                <a:srgbClr val="000080"/>
              </a:solidFill>
              <a:prstDash val="solid"/>
            </a:ln>
          </c:spPr>
          <c:marker>
            <c:symbol val="circle"/>
            <c:size val="5"/>
            <c:spPr>
              <a:solidFill>
                <a:srgbClr val="000000"/>
              </a:solidFill>
              <a:ln>
                <a:solidFill>
                  <a:srgbClr val="000000"/>
                </a:solidFill>
                <a:prstDash val="solid"/>
              </a:ln>
            </c:spPr>
          </c:marker>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Val val="1"/>
          </c:dLbls>
          <c:xVal>
            <c:numRef>
              <c:f>Vs!$M$5:$M$15</c:f>
              <c:numCache>
                <c:formatCode>0</c:formatCode>
                <c:ptCount val="11"/>
                <c:pt idx="0">
                  <c:v>1500</c:v>
                </c:pt>
                <c:pt idx="1">
                  <c:v>1600</c:v>
                </c:pt>
                <c:pt idx="2">
                  <c:v>1700</c:v>
                </c:pt>
                <c:pt idx="3">
                  <c:v>1800</c:v>
                </c:pt>
                <c:pt idx="4">
                  <c:v>1900</c:v>
                </c:pt>
                <c:pt idx="5">
                  <c:v>2000</c:v>
                </c:pt>
                <c:pt idx="6">
                  <c:v>2100</c:v>
                </c:pt>
                <c:pt idx="7">
                  <c:v>2200</c:v>
                </c:pt>
                <c:pt idx="8">
                  <c:v>2300</c:v>
                </c:pt>
                <c:pt idx="9">
                  <c:v>2400</c:v>
                </c:pt>
                <c:pt idx="10">
                  <c:v>2500</c:v>
                </c:pt>
              </c:numCache>
            </c:numRef>
          </c:xVal>
          <c:yVal>
            <c:numRef>
              <c:f>Vs!$N$5:$N$15</c:f>
              <c:numCache>
                <c:formatCode>0.0</c:formatCode>
                <c:ptCount val="11"/>
                <c:pt idx="0">
                  <c:v>35.341650471709947</c:v>
                </c:pt>
                <c:pt idx="1">
                  <c:v>36.500699654510967</c:v>
                </c:pt>
                <c:pt idx="2">
                  <c:v>37.624060021123697</c:v>
                </c:pt>
                <c:pt idx="3">
                  <c:v>38.71483836563727</c:v>
                </c:pt>
                <c:pt idx="4">
                  <c:v>39.775715290635823</c:v>
                </c:pt>
                <c:pt idx="5">
                  <c:v>40.809022826894811</c:v>
                </c:pt>
                <c:pt idx="6">
                  <c:v>41.816804771411249</c:v>
                </c:pt>
                <c:pt idx="7">
                  <c:v>42.800864226024963</c:v>
                </c:pt>
                <c:pt idx="8">
                  <c:v>43.76280150651835</c:v>
                </c:pt>
                <c:pt idx="9">
                  <c:v>44.704044704067059</c:v>
                </c:pt>
                <c:pt idx="10">
                  <c:v>45.625874568138705</c:v>
                </c:pt>
              </c:numCache>
            </c:numRef>
          </c:yVal>
        </c:ser>
        <c:dLbls>
          <c:showVal val="1"/>
        </c:dLbls>
        <c:axId val="80863232"/>
        <c:axId val="80865152"/>
      </c:scatterChart>
      <c:valAx>
        <c:axId val="80863232"/>
        <c:scaling>
          <c:orientation val="minMax"/>
          <c:max val="2500"/>
          <c:min val="1500"/>
        </c:scaling>
        <c:axPos val="b"/>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t>Weight (lbs)</a:t>
                </a:r>
              </a:p>
            </c:rich>
          </c:tx>
          <c:layout>
            <c:manualLayout>
              <c:xMode val="edge"/>
              <c:yMode val="edge"/>
              <c:x val="0.47286839604091041"/>
              <c:y val="0.9049520262860129"/>
            </c:manualLayout>
          </c:layout>
          <c:spPr>
            <a:noFill/>
            <a:ln w="25400">
              <a:noFill/>
            </a:ln>
          </c:spPr>
        </c:title>
        <c:numFmt formatCode="0" sourceLinked="1"/>
        <c:minorTickMark val="cross"/>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0865152"/>
        <c:crossesAt val="30"/>
        <c:crossBetween val="midCat"/>
        <c:majorUnit val="100"/>
        <c:minorUnit val="50"/>
      </c:valAx>
      <c:valAx>
        <c:axId val="80865152"/>
        <c:scaling>
          <c:orientation val="minMax"/>
          <c:max val="60"/>
          <c:min val="30"/>
        </c:scaling>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t>KIAS</a:t>
                </a:r>
              </a:p>
            </c:rich>
          </c:tx>
          <c:layout>
            <c:manualLayout>
              <c:xMode val="edge"/>
              <c:yMode val="edge"/>
              <c:x val="2.9457375491073332E-2"/>
              <c:y val="0.45148591245779196"/>
            </c:manualLayout>
          </c:layout>
          <c:spPr>
            <a:noFill/>
            <a:ln w="25400">
              <a:noFill/>
            </a:ln>
          </c:spPr>
        </c:title>
        <c:numFmt formatCode="0.0" sourceLinked="1"/>
        <c:minorTickMark val="cross"/>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0863232"/>
        <c:crosses val="autoZero"/>
        <c:crossBetween val="midCat"/>
        <c:majorUnit val="5"/>
        <c:minorUnit val="1"/>
      </c:valAx>
      <c:spPr>
        <a:solidFill>
          <a:srgbClr val="FFFFFF"/>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55" r="0.7500000000000035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Arial"/>
                <a:ea typeface="Arial"/>
                <a:cs typeface="Arial"/>
              </a:defRPr>
            </a:pPr>
            <a:r>
              <a:rPr lang="en-US"/>
              <a:t>PA-28-161 Stall Speed, No Flaps (0)</a:t>
            </a:r>
          </a:p>
        </c:rich>
      </c:tx>
      <c:layout>
        <c:manualLayout>
          <c:xMode val="edge"/>
          <c:yMode val="edge"/>
          <c:x val="0.28149369627730192"/>
          <c:y val="3.3932251476422391E-2"/>
        </c:manualLayout>
      </c:layout>
      <c:spPr>
        <a:noFill/>
        <a:ln w="25400">
          <a:noFill/>
        </a:ln>
      </c:spPr>
    </c:title>
    <c:plotArea>
      <c:layout>
        <c:manualLayout>
          <c:layoutTarget val="inner"/>
          <c:xMode val="edge"/>
          <c:yMode val="edge"/>
          <c:x val="0.15085573778396844"/>
          <c:y val="0.16566922779665014"/>
          <c:w val="0.79004860612635064"/>
          <c:h val="0.65868488160114358"/>
        </c:manualLayout>
      </c:layout>
      <c:scatterChart>
        <c:scatterStyle val="lineMarker"/>
        <c:ser>
          <c:idx val="0"/>
          <c:order val="0"/>
          <c:spPr>
            <a:ln w="12700">
              <a:solidFill>
                <a:srgbClr val="000080"/>
              </a:solidFill>
              <a:prstDash val="solid"/>
            </a:ln>
          </c:spPr>
          <c:marker>
            <c:symbol val="circle"/>
            <c:size val="5"/>
            <c:spPr>
              <a:solidFill>
                <a:srgbClr val="000000"/>
              </a:solidFill>
              <a:ln>
                <a:solidFill>
                  <a:srgbClr val="000000"/>
                </a:solidFill>
                <a:prstDash val="solid"/>
              </a:ln>
            </c:spPr>
          </c:marker>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Val val="1"/>
          </c:dLbls>
          <c:xVal>
            <c:numRef>
              <c:f>Vs!$M$33:$M$43</c:f>
              <c:numCache>
                <c:formatCode>0</c:formatCode>
                <c:ptCount val="11"/>
                <c:pt idx="0">
                  <c:v>1500</c:v>
                </c:pt>
                <c:pt idx="1">
                  <c:v>1600</c:v>
                </c:pt>
                <c:pt idx="2">
                  <c:v>1700</c:v>
                </c:pt>
                <c:pt idx="3">
                  <c:v>1800</c:v>
                </c:pt>
                <c:pt idx="4">
                  <c:v>1900</c:v>
                </c:pt>
                <c:pt idx="5">
                  <c:v>2000</c:v>
                </c:pt>
                <c:pt idx="6">
                  <c:v>2100</c:v>
                </c:pt>
                <c:pt idx="7">
                  <c:v>2200</c:v>
                </c:pt>
                <c:pt idx="8">
                  <c:v>2300</c:v>
                </c:pt>
                <c:pt idx="9">
                  <c:v>2400</c:v>
                </c:pt>
                <c:pt idx="10">
                  <c:v>2500</c:v>
                </c:pt>
              </c:numCache>
            </c:numRef>
          </c:xVal>
          <c:yVal>
            <c:numRef>
              <c:f>Vs!$N$33:$N$43</c:f>
              <c:numCache>
                <c:formatCode>0.0</c:formatCode>
                <c:ptCount val="11"/>
                <c:pt idx="0">
                  <c:v>40.160966445124942</c:v>
                </c:pt>
                <c:pt idx="1">
                  <c:v>41.478067789217008</c:v>
                </c:pt>
                <c:pt idx="2">
                  <c:v>42.754613660367838</c:v>
                </c:pt>
                <c:pt idx="3">
                  <c:v>43.994134506405985</c:v>
                </c:pt>
                <c:pt idx="4">
                  <c:v>45.199676466631615</c:v>
                </c:pt>
                <c:pt idx="5">
                  <c:v>46.373889576016829</c:v>
                </c:pt>
                <c:pt idx="6">
                  <c:v>47.519096331149143</c:v>
                </c:pt>
                <c:pt idx="7">
                  <c:v>48.637345711392008</c:v>
                </c:pt>
                <c:pt idx="8">
                  <c:v>49.730456257407219</c:v>
                </c:pt>
                <c:pt idx="9">
                  <c:v>50.8000508000762</c:v>
                </c:pt>
                <c:pt idx="10">
                  <c:v>51.847584736521256</c:v>
                </c:pt>
              </c:numCache>
            </c:numRef>
          </c:yVal>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1200" b="0" i="0" u="none" strike="noStrike" baseline="0">
                    <a:solidFill>
                      <a:srgbClr val="000000"/>
                    </a:solidFill>
                    <a:latin typeface="Arial"/>
                    <a:ea typeface="Arial"/>
                    <a:cs typeface="Arial"/>
                  </a:defRPr>
                </a:pPr>
                <a:endParaRPr lang="en-US"/>
              </a:p>
            </c:txPr>
            <c:showVal val="1"/>
          </c:dLbls>
          <c:xVal>
            <c:numRef>
              <c:f>Vs!$M$46</c:f>
              <c:numCache>
                <c:formatCode>0</c:formatCode>
                <c:ptCount val="1"/>
                <c:pt idx="0">
                  <c:v>1850</c:v>
                </c:pt>
              </c:numCache>
            </c:numRef>
          </c:xVal>
          <c:yVal>
            <c:numRef>
              <c:f>Vs!$N$46</c:f>
              <c:numCache>
                <c:formatCode>0.0</c:formatCode>
                <c:ptCount val="1"/>
                <c:pt idx="0">
                  <c:v>44.600978821411047</c:v>
                </c:pt>
              </c:numCache>
            </c:numRef>
          </c:yVal>
        </c:ser>
        <c:dLbls>
          <c:showVal val="1"/>
        </c:dLbls>
        <c:axId val="81181696"/>
        <c:axId val="81196160"/>
      </c:scatterChart>
      <c:valAx>
        <c:axId val="81181696"/>
        <c:scaling>
          <c:orientation val="minMax"/>
          <c:max val="2500"/>
          <c:min val="1500"/>
        </c:scaling>
        <c:axPos val="b"/>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Weight (lbs)</a:t>
                </a:r>
              </a:p>
            </c:rich>
          </c:tx>
          <c:layout>
            <c:manualLayout>
              <c:xMode val="edge"/>
              <c:yMode val="edge"/>
              <c:x val="0.46656413747619074"/>
              <c:y val="0.90419470110701838"/>
            </c:manualLayout>
          </c:layout>
          <c:spPr>
            <a:noFill/>
            <a:ln w="25400">
              <a:noFill/>
            </a:ln>
          </c:spPr>
        </c:title>
        <c:numFmt formatCode="0" sourceLinked="1"/>
        <c:minorTickMark val="cross"/>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1196160"/>
        <c:crossesAt val="30"/>
        <c:crossBetween val="midCat"/>
        <c:majorUnit val="100"/>
        <c:minorUnit val="50"/>
      </c:valAx>
      <c:valAx>
        <c:axId val="81196160"/>
        <c:scaling>
          <c:orientation val="minMax"/>
          <c:max val="60"/>
          <c:min val="30"/>
        </c:scaling>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KIAS</a:t>
                </a:r>
              </a:p>
            </c:rich>
          </c:tx>
          <c:layout>
            <c:manualLayout>
              <c:xMode val="edge"/>
              <c:yMode val="edge"/>
              <c:x val="2.9549062040158766E-2"/>
              <c:y val="0.45109934315714378"/>
            </c:manualLayout>
          </c:layout>
          <c:spPr>
            <a:noFill/>
            <a:ln w="25400">
              <a:noFill/>
            </a:ln>
          </c:spPr>
        </c:title>
        <c:numFmt formatCode="0.0" sourceLinked="1"/>
        <c:minorTickMark val="cross"/>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1181696"/>
        <c:crosses val="autoZero"/>
        <c:crossBetween val="midCat"/>
        <c:majorUnit val="5"/>
        <c:minorUnit val="1"/>
      </c:valAx>
      <c:spPr>
        <a:solidFill>
          <a:srgbClr val="FFFFFF"/>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55" r="0.7500000000000035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25" b="1" i="0" u="none" strike="noStrike" baseline="0">
                <a:solidFill>
                  <a:srgbClr val="000000"/>
                </a:solidFill>
                <a:latin typeface="Arial"/>
                <a:ea typeface="Arial"/>
                <a:cs typeface="Arial"/>
              </a:defRPr>
            </a:pPr>
            <a:r>
              <a:rPr lang="en-US"/>
              <a:t>PA-28-161 Vx/Vy at Altitude</a:t>
            </a:r>
          </a:p>
        </c:rich>
      </c:tx>
      <c:layout>
        <c:manualLayout>
          <c:xMode val="edge"/>
          <c:yMode val="edge"/>
          <c:x val="0.2519564221940489"/>
          <c:y val="3.2549822158717052E-2"/>
        </c:manualLayout>
      </c:layout>
      <c:spPr>
        <a:noFill/>
        <a:ln w="25400">
          <a:noFill/>
        </a:ln>
      </c:spPr>
    </c:title>
    <c:plotArea>
      <c:layout>
        <c:manualLayout>
          <c:layoutTarget val="inner"/>
          <c:xMode val="edge"/>
          <c:yMode val="edge"/>
          <c:x val="0.20552967850849629"/>
          <c:y val="0.17299625521493375"/>
          <c:w val="0.75117442641703869"/>
          <c:h val="0.64376314936129242"/>
        </c:manualLayout>
      </c:layout>
      <c:scatterChart>
        <c:scatterStyle val="lineMarker"/>
        <c:ser>
          <c:idx val="0"/>
          <c:order val="0"/>
          <c:tx>
            <c:v>Vx</c:v>
          </c:tx>
          <c:spPr>
            <a:ln w="12700">
              <a:solidFill>
                <a:schemeClr val="accent1"/>
              </a:solidFill>
              <a:prstDash val="solid"/>
            </a:ln>
          </c:spPr>
          <c:marker>
            <c:symbol val="circle"/>
            <c:size val="6"/>
            <c:spPr>
              <a:solidFill>
                <a:schemeClr val="accent1"/>
              </a:solidFill>
              <a:ln>
                <a:solidFill>
                  <a:schemeClr val="accent1"/>
                </a:solidFill>
                <a:prstDash val="solid"/>
              </a:ln>
            </c:spPr>
          </c:marker>
          <c:dLbls>
            <c:spPr>
              <a:noFill/>
              <a:ln w="25400">
                <a:noFill/>
              </a:ln>
            </c:spPr>
            <c:txPr>
              <a:bodyPr/>
              <a:lstStyle/>
              <a:p>
                <a:pPr>
                  <a:defRPr sz="1200" b="0" i="0" u="none" strike="noStrike" baseline="0">
                    <a:solidFill>
                      <a:srgbClr val="000000"/>
                    </a:solidFill>
                    <a:latin typeface="Arial"/>
                    <a:ea typeface="Arial"/>
                    <a:cs typeface="Arial"/>
                  </a:defRPr>
                </a:pPr>
                <a:endParaRPr lang="en-US"/>
              </a:p>
            </c:txPr>
            <c:showVal val="1"/>
          </c:dLbls>
          <c:xVal>
            <c:numRef>
              <c:f>'Vx|Vy'!$B$20:$C$20</c:f>
              <c:numCache>
                <c:formatCode>General</c:formatCode>
                <c:ptCount val="2"/>
                <c:pt idx="0" formatCode="0">
                  <c:v>63</c:v>
                </c:pt>
                <c:pt idx="1">
                  <c:v>70</c:v>
                </c:pt>
              </c:numCache>
            </c:numRef>
          </c:xVal>
          <c:yVal>
            <c:numRef>
              <c:f>'Vx|Vy'!$B$15:$B$16</c:f>
              <c:numCache>
                <c:formatCode>0</c:formatCode>
                <c:ptCount val="2"/>
                <c:pt idx="0" formatCode="0.0">
                  <c:v>0</c:v>
                </c:pt>
                <c:pt idx="1">
                  <c:v>17500</c:v>
                </c:pt>
              </c:numCache>
            </c:numRef>
          </c:yVal>
        </c:ser>
        <c:ser>
          <c:idx val="1"/>
          <c:order val="1"/>
          <c:tx>
            <c:v>Vy</c:v>
          </c:tx>
          <c:spPr>
            <a:ln w="12700">
              <a:solidFill>
                <a:schemeClr val="accent6"/>
              </a:solidFill>
              <a:prstDash val="solid"/>
            </a:ln>
          </c:spPr>
          <c:marker>
            <c:symbol val="diamond"/>
            <c:size val="7"/>
            <c:spPr>
              <a:solidFill>
                <a:schemeClr val="accent6"/>
              </a:solidFill>
              <a:ln>
                <a:solidFill>
                  <a:schemeClr val="accent6"/>
                </a:solidFill>
                <a:prstDash val="solid"/>
              </a:ln>
            </c:spPr>
          </c:marker>
          <c:dLbls>
            <c:spPr>
              <a:noFill/>
              <a:ln w="25400">
                <a:noFill/>
              </a:ln>
            </c:spPr>
            <c:txPr>
              <a:bodyPr/>
              <a:lstStyle/>
              <a:p>
                <a:pPr>
                  <a:defRPr sz="1200" b="0" i="0" u="none" strike="noStrike" baseline="0">
                    <a:solidFill>
                      <a:srgbClr val="000000"/>
                    </a:solidFill>
                    <a:latin typeface="Arial"/>
                    <a:ea typeface="Arial"/>
                    <a:cs typeface="Arial"/>
                  </a:defRPr>
                </a:pPr>
                <a:endParaRPr lang="en-US"/>
              </a:p>
            </c:txPr>
            <c:showVal val="1"/>
          </c:dLbls>
          <c:xVal>
            <c:numRef>
              <c:f>'Vx|Vy'!$B$21:$C$21</c:f>
              <c:numCache>
                <c:formatCode>General</c:formatCode>
                <c:ptCount val="2"/>
                <c:pt idx="0" formatCode="0">
                  <c:v>79</c:v>
                </c:pt>
                <c:pt idx="1">
                  <c:v>70</c:v>
                </c:pt>
              </c:numCache>
            </c:numRef>
          </c:xVal>
          <c:yVal>
            <c:numRef>
              <c:f>'Vx|Vy'!$B$15:$B$16</c:f>
              <c:numCache>
                <c:formatCode>0</c:formatCode>
                <c:ptCount val="2"/>
                <c:pt idx="0" formatCode="0.0">
                  <c:v>0</c:v>
                </c:pt>
                <c:pt idx="1">
                  <c:v>17500</c:v>
                </c:pt>
              </c:numCache>
            </c:numRef>
          </c:yVal>
        </c:ser>
        <c:ser>
          <c:idx val="2"/>
          <c:order val="2"/>
          <c:spPr>
            <a:ln w="12700">
              <a:solidFill>
                <a:schemeClr val="accent1"/>
              </a:solidFill>
              <a:prstDash val="solid"/>
            </a:ln>
          </c:spPr>
          <c:marker>
            <c:symbol val="circle"/>
            <c:size val="6"/>
            <c:spPr>
              <a:solidFill>
                <a:schemeClr val="accent1"/>
              </a:solidFill>
              <a:ln>
                <a:solidFill>
                  <a:schemeClr val="accent1"/>
                </a:solidFill>
                <a:prstDash val="solid"/>
              </a:ln>
            </c:spPr>
          </c:marker>
          <c:dLbls>
            <c:spPr>
              <a:noFill/>
              <a:ln w="25400">
                <a:noFill/>
              </a:ln>
            </c:spPr>
            <c:txPr>
              <a:bodyPr/>
              <a:lstStyle/>
              <a:p>
                <a:pPr>
                  <a:defRPr sz="1200" b="0" i="0" u="none" strike="noStrike" baseline="0">
                    <a:solidFill>
                      <a:srgbClr val="000000"/>
                    </a:solidFill>
                    <a:latin typeface="Arial"/>
                    <a:ea typeface="Arial"/>
                    <a:cs typeface="Arial"/>
                  </a:defRPr>
                </a:pPr>
                <a:endParaRPr lang="en-US"/>
              </a:p>
            </c:txPr>
            <c:showVal val="1"/>
          </c:dLbls>
          <c:xVal>
            <c:numRef>
              <c:f>'Vx|Vy'!$B$24</c:f>
              <c:numCache>
                <c:formatCode>0.0</c:formatCode>
                <c:ptCount val="1"/>
                <c:pt idx="0">
                  <c:v>65</c:v>
                </c:pt>
              </c:numCache>
            </c:numRef>
          </c:xVal>
          <c:yVal>
            <c:numRef>
              <c:f>'Vx|Vy'!$B$23</c:f>
              <c:numCache>
                <c:formatCode>0.0</c:formatCode>
                <c:ptCount val="1"/>
                <c:pt idx="0">
                  <c:v>5000</c:v>
                </c:pt>
              </c:numCache>
            </c:numRef>
          </c:yVal>
        </c:ser>
        <c:ser>
          <c:idx val="3"/>
          <c:order val="3"/>
          <c:spPr>
            <a:ln w="12700">
              <a:solidFill>
                <a:schemeClr val="accent6"/>
              </a:solidFill>
              <a:prstDash val="solid"/>
            </a:ln>
          </c:spPr>
          <c:marker>
            <c:symbol val="diamond"/>
            <c:size val="7"/>
            <c:spPr>
              <a:solidFill>
                <a:schemeClr val="accent6"/>
              </a:solidFill>
              <a:ln>
                <a:solidFill>
                  <a:schemeClr val="accent6"/>
                </a:solidFill>
                <a:prstDash val="solid"/>
              </a:ln>
            </c:spPr>
          </c:marker>
          <c:dLbls>
            <c:spPr>
              <a:noFill/>
              <a:ln w="25400">
                <a:noFill/>
              </a:ln>
            </c:spPr>
            <c:txPr>
              <a:bodyPr/>
              <a:lstStyle/>
              <a:p>
                <a:pPr>
                  <a:defRPr sz="1200" b="0" i="0" u="none" strike="noStrike" baseline="0">
                    <a:solidFill>
                      <a:srgbClr val="000000"/>
                    </a:solidFill>
                    <a:latin typeface="Arial"/>
                    <a:ea typeface="Arial"/>
                    <a:cs typeface="Arial"/>
                  </a:defRPr>
                </a:pPr>
                <a:endParaRPr lang="en-US"/>
              </a:p>
            </c:txPr>
            <c:showVal val="1"/>
          </c:dLbls>
          <c:xVal>
            <c:numRef>
              <c:f>'Vx|Vy'!$B$25</c:f>
              <c:numCache>
                <c:formatCode>0.0</c:formatCode>
                <c:ptCount val="1"/>
                <c:pt idx="0">
                  <c:v>76.428571428571431</c:v>
                </c:pt>
              </c:numCache>
            </c:numRef>
          </c:xVal>
          <c:yVal>
            <c:numRef>
              <c:f>'Vx|Vy'!$B$23</c:f>
              <c:numCache>
                <c:formatCode>0.0</c:formatCode>
                <c:ptCount val="1"/>
                <c:pt idx="0">
                  <c:v>5000</c:v>
                </c:pt>
              </c:numCache>
            </c:numRef>
          </c:yVal>
        </c:ser>
        <c:dLbls>
          <c:showVal val="1"/>
        </c:dLbls>
        <c:axId val="81532032"/>
        <c:axId val="81533952"/>
      </c:scatterChart>
      <c:valAx>
        <c:axId val="81532032"/>
        <c:scaling>
          <c:orientation val="minMax"/>
          <c:max val="80"/>
          <c:min val="60"/>
        </c:scaling>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KIAS</a:t>
                </a:r>
              </a:p>
            </c:rich>
          </c:tx>
          <c:layout>
            <c:manualLayout>
              <c:xMode val="edge"/>
              <c:yMode val="edge"/>
              <c:x val="0.53677672554383904"/>
              <c:y val="0.90235340317776647"/>
            </c:manualLayout>
          </c:layout>
          <c:spPr>
            <a:noFill/>
            <a:ln w="25400">
              <a:noFill/>
            </a:ln>
          </c:spPr>
        </c:title>
        <c:numFmt formatCode="0" sourceLinked="1"/>
        <c:minorTickMark val="cross"/>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533952"/>
        <c:crossesAt val="60"/>
        <c:crossBetween val="midCat"/>
        <c:majorUnit val="2"/>
        <c:minorUnit val="1"/>
      </c:valAx>
      <c:valAx>
        <c:axId val="81533952"/>
        <c:scaling>
          <c:orientation val="minMax"/>
          <c:max val="18000"/>
          <c:min val="0"/>
        </c:scaling>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Altitude (feet)</a:t>
                </a:r>
              </a:p>
            </c:rich>
          </c:tx>
          <c:layout>
            <c:manualLayout>
              <c:xMode val="edge"/>
              <c:yMode val="edge"/>
              <c:x val="2.9733987712341012E-2"/>
              <c:y val="0.37974792518503198"/>
            </c:manualLayout>
          </c:layout>
          <c:spPr>
            <a:noFill/>
            <a:ln w="25400">
              <a:noFill/>
            </a:ln>
          </c:spPr>
        </c:title>
        <c:numFmt formatCode="0" sourceLinked="0"/>
        <c:minorTickMark val="cross"/>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532032"/>
        <c:crossesAt val="60"/>
        <c:crossBetween val="midCat"/>
        <c:majorUnit val="2000"/>
        <c:minorUnit val="1000"/>
      </c:valAx>
      <c:spPr>
        <a:solidFill>
          <a:srgbClr val="FFFFFF"/>
        </a:solidFill>
        <a:ln w="12700">
          <a:solidFill>
            <a:srgbClr val="808080"/>
          </a:solidFill>
          <a:prstDash val="solid"/>
        </a:ln>
      </c:spPr>
    </c:plotArea>
    <c:legend>
      <c:legendPos val="t"/>
      <c:legendEntry>
        <c:idx val="2"/>
        <c:delete val="1"/>
      </c:legendEntry>
      <c:legendEntry>
        <c:idx val="3"/>
        <c:delete val="1"/>
      </c:legendEntry>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55" r="0.75000000000000355" t="1" header="0.5" footer="0.5"/>
    <c:pageSetup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10.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xdr:col>
      <xdr:colOff>45720</xdr:colOff>
      <xdr:row>7</xdr:row>
      <xdr:rowOff>7620</xdr:rowOff>
    </xdr:from>
    <xdr:to>
      <xdr:col>9</xdr:col>
      <xdr:colOff>358140</xdr:colOff>
      <xdr:row>9</xdr:row>
      <xdr:rowOff>7620</xdr:rowOff>
    </xdr:to>
    <xdr:sp macro="" textlink="">
      <xdr:nvSpPr>
        <xdr:cNvPr id="3073" name="Text Box 1"/>
        <xdr:cNvSpPr txBox="1">
          <a:spLocks noChangeArrowheads="1"/>
        </xdr:cNvSpPr>
      </xdr:nvSpPr>
      <xdr:spPr bwMode="auto">
        <a:xfrm>
          <a:off x="3886200" y="1844040"/>
          <a:ext cx="312420" cy="533400"/>
        </a:xfrm>
        <a:prstGeom prst="rect">
          <a:avLst/>
        </a:prstGeom>
        <a:noFill/>
        <a:ln w="9525">
          <a:noFill/>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TC</a:t>
          </a:r>
        </a:p>
      </xdr:txBody>
    </xdr:sp>
    <xdr:clientData/>
  </xdr:twoCellAnchor>
  <xdr:twoCellAnchor>
    <xdr:from>
      <xdr:col>9</xdr:col>
      <xdr:colOff>38100</xdr:colOff>
      <xdr:row>9</xdr:row>
      <xdr:rowOff>7620</xdr:rowOff>
    </xdr:from>
    <xdr:to>
      <xdr:col>9</xdr:col>
      <xdr:colOff>358140</xdr:colOff>
      <xdr:row>11</xdr:row>
      <xdr:rowOff>7620</xdr:rowOff>
    </xdr:to>
    <xdr:sp macro="" textlink="">
      <xdr:nvSpPr>
        <xdr:cNvPr id="3074" name="Text Box 2"/>
        <xdr:cNvSpPr txBox="1">
          <a:spLocks noChangeArrowheads="1"/>
        </xdr:cNvSpPr>
      </xdr:nvSpPr>
      <xdr:spPr bwMode="auto">
        <a:xfrm>
          <a:off x="3878580" y="2377440"/>
          <a:ext cx="320040" cy="533400"/>
        </a:xfrm>
        <a:prstGeom prst="rect">
          <a:avLst/>
        </a:prstGeom>
        <a:noFill/>
        <a:ln w="9525">
          <a:noFill/>
          <a:miter lim="800000"/>
          <a:headEnd/>
          <a:tailEnd/>
        </a:ln>
      </xdr:spPr>
      <xdr:txBody>
        <a:bodyPr vertOverflow="clip" wrap="square" lIns="27432" tIns="22860" rIns="27432" bIns="22860" anchor="ctr" upright="1"/>
        <a:lstStyle/>
        <a:p>
          <a:pPr algn="ctr" rtl="0">
            <a:defRPr sz="1000"/>
          </a:pPr>
          <a:r>
            <a:rPr lang="en-US" sz="800" b="1" i="0" u="none" strike="noStrike" baseline="0">
              <a:solidFill>
                <a:srgbClr val="000000"/>
              </a:solidFill>
              <a:latin typeface="Arial"/>
              <a:cs typeface="Arial"/>
            </a:rPr>
            <a:t>-L</a:t>
          </a:r>
        </a:p>
        <a:p>
          <a:pPr algn="ctr" rtl="0">
            <a:defRPr sz="1000"/>
          </a:pPr>
          <a:r>
            <a:rPr lang="en-US" sz="800" b="1" i="0" u="none" strike="noStrike" baseline="0">
              <a:solidFill>
                <a:srgbClr val="000000"/>
              </a:solidFill>
              <a:latin typeface="Arial"/>
              <a:cs typeface="Arial"/>
            </a:rPr>
            <a:t>+R</a:t>
          </a:r>
        </a:p>
        <a:p>
          <a:pPr algn="ctr" rtl="0">
            <a:defRPr sz="1000"/>
          </a:pPr>
          <a:r>
            <a:rPr lang="en-US" sz="800" b="1" i="0" u="none" strike="noStrike" baseline="0">
              <a:solidFill>
                <a:srgbClr val="000000"/>
              </a:solidFill>
              <a:latin typeface="Arial"/>
              <a:cs typeface="Arial"/>
            </a:rPr>
            <a:t>WCA</a:t>
          </a:r>
        </a:p>
      </xdr:txBody>
    </xdr:sp>
    <xdr:clientData/>
  </xdr:twoCellAnchor>
  <xdr:twoCellAnchor>
    <xdr:from>
      <xdr:col>10</xdr:col>
      <xdr:colOff>45720</xdr:colOff>
      <xdr:row>7</xdr:row>
      <xdr:rowOff>7620</xdr:rowOff>
    </xdr:from>
    <xdr:to>
      <xdr:col>10</xdr:col>
      <xdr:colOff>342900</xdr:colOff>
      <xdr:row>9</xdr:row>
      <xdr:rowOff>0</xdr:rowOff>
    </xdr:to>
    <xdr:sp macro="" textlink="">
      <xdr:nvSpPr>
        <xdr:cNvPr id="3075" name="Text Box 3"/>
        <xdr:cNvSpPr txBox="1">
          <a:spLocks noChangeArrowheads="1"/>
        </xdr:cNvSpPr>
      </xdr:nvSpPr>
      <xdr:spPr bwMode="auto">
        <a:xfrm>
          <a:off x="4274820" y="1844040"/>
          <a:ext cx="297180" cy="525780"/>
        </a:xfrm>
        <a:prstGeom prst="rect">
          <a:avLst/>
        </a:prstGeom>
        <a:noFill/>
        <a:ln w="9525">
          <a:noFill/>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TH</a:t>
          </a:r>
        </a:p>
      </xdr:txBody>
    </xdr:sp>
    <xdr:clientData/>
  </xdr:twoCellAnchor>
  <xdr:twoCellAnchor>
    <xdr:from>
      <xdr:col>11</xdr:col>
      <xdr:colOff>45720</xdr:colOff>
      <xdr:row>7</xdr:row>
      <xdr:rowOff>0</xdr:rowOff>
    </xdr:from>
    <xdr:to>
      <xdr:col>11</xdr:col>
      <xdr:colOff>342900</xdr:colOff>
      <xdr:row>9</xdr:row>
      <xdr:rowOff>0</xdr:rowOff>
    </xdr:to>
    <xdr:sp macro="" textlink="">
      <xdr:nvSpPr>
        <xdr:cNvPr id="3076" name="Text Box 4"/>
        <xdr:cNvSpPr txBox="1">
          <a:spLocks noChangeArrowheads="1"/>
        </xdr:cNvSpPr>
      </xdr:nvSpPr>
      <xdr:spPr bwMode="auto">
        <a:xfrm>
          <a:off x="4663440" y="1836420"/>
          <a:ext cx="274320" cy="533400"/>
        </a:xfrm>
        <a:prstGeom prst="rect">
          <a:avLst/>
        </a:prstGeom>
        <a:noFill/>
        <a:ln w="9525">
          <a:noFill/>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MH</a:t>
          </a:r>
        </a:p>
      </xdr:txBody>
    </xdr:sp>
    <xdr:clientData/>
  </xdr:twoCellAnchor>
  <xdr:twoCellAnchor>
    <xdr:from>
      <xdr:col>10</xdr:col>
      <xdr:colOff>38100</xdr:colOff>
      <xdr:row>9</xdr:row>
      <xdr:rowOff>0</xdr:rowOff>
    </xdr:from>
    <xdr:to>
      <xdr:col>10</xdr:col>
      <xdr:colOff>358140</xdr:colOff>
      <xdr:row>11</xdr:row>
      <xdr:rowOff>0</xdr:rowOff>
    </xdr:to>
    <xdr:sp macro="" textlink="">
      <xdr:nvSpPr>
        <xdr:cNvPr id="3077" name="Text Box 5"/>
        <xdr:cNvSpPr txBox="1">
          <a:spLocks noChangeArrowheads="1"/>
        </xdr:cNvSpPr>
      </xdr:nvSpPr>
      <xdr:spPr bwMode="auto">
        <a:xfrm>
          <a:off x="4267200" y="2369820"/>
          <a:ext cx="320040" cy="533400"/>
        </a:xfrm>
        <a:prstGeom prst="rect">
          <a:avLst/>
        </a:prstGeom>
        <a:noFill/>
        <a:ln w="9525">
          <a:noFill/>
          <a:miter lim="800000"/>
          <a:headEnd/>
          <a:tailEnd/>
        </a:ln>
      </xdr:spPr>
      <xdr:txBody>
        <a:bodyPr vertOverflow="clip" wrap="square" lIns="27432" tIns="22860" rIns="27432" bIns="22860" anchor="ctr" upright="1"/>
        <a:lstStyle/>
        <a:p>
          <a:pPr algn="ctr" rtl="0">
            <a:defRPr sz="1000"/>
          </a:pPr>
          <a:r>
            <a:rPr lang="en-US" sz="800" b="1" i="0" u="none" strike="noStrike" baseline="0">
              <a:solidFill>
                <a:srgbClr val="000000"/>
              </a:solidFill>
              <a:latin typeface="Arial"/>
              <a:cs typeface="Arial"/>
            </a:rPr>
            <a:t>-E</a:t>
          </a:r>
        </a:p>
        <a:p>
          <a:pPr algn="ctr" rtl="0">
            <a:defRPr sz="1000"/>
          </a:pPr>
          <a:r>
            <a:rPr lang="en-US" sz="800" b="1" i="0" u="none" strike="noStrike" baseline="0">
              <a:solidFill>
                <a:srgbClr val="000000"/>
              </a:solidFill>
              <a:latin typeface="Arial"/>
              <a:cs typeface="Arial"/>
            </a:rPr>
            <a:t>+W</a:t>
          </a:r>
        </a:p>
        <a:p>
          <a:pPr algn="ctr" rtl="0">
            <a:defRPr sz="1000"/>
          </a:pPr>
          <a:r>
            <a:rPr lang="en-US" sz="800" b="1" i="0" u="none" strike="noStrike" baseline="0">
              <a:solidFill>
                <a:srgbClr val="000000"/>
              </a:solidFill>
              <a:latin typeface="Arial"/>
              <a:cs typeface="Arial"/>
            </a:rPr>
            <a:t>Var.</a:t>
          </a:r>
        </a:p>
      </xdr:txBody>
    </xdr:sp>
    <xdr:clientData/>
  </xdr:twoCellAnchor>
  <xdr:twoCellAnchor>
    <xdr:from>
      <xdr:col>11</xdr:col>
      <xdr:colOff>45720</xdr:colOff>
      <xdr:row>8</xdr:row>
      <xdr:rowOff>205740</xdr:rowOff>
    </xdr:from>
    <xdr:to>
      <xdr:col>11</xdr:col>
      <xdr:colOff>358140</xdr:colOff>
      <xdr:row>10</xdr:row>
      <xdr:rowOff>220980</xdr:rowOff>
    </xdr:to>
    <xdr:sp macro="" textlink="">
      <xdr:nvSpPr>
        <xdr:cNvPr id="3078" name="Text Box 6"/>
        <xdr:cNvSpPr txBox="1">
          <a:spLocks noChangeArrowheads="1"/>
        </xdr:cNvSpPr>
      </xdr:nvSpPr>
      <xdr:spPr bwMode="auto">
        <a:xfrm>
          <a:off x="4663440" y="2308860"/>
          <a:ext cx="274320" cy="548640"/>
        </a:xfrm>
        <a:prstGeom prst="rect">
          <a:avLst/>
        </a:prstGeom>
        <a:noFill/>
        <a:ln w="9525">
          <a:noFill/>
          <a:miter lim="800000"/>
          <a:headEnd/>
          <a:tailEnd/>
        </a:ln>
      </xdr:spPr>
      <xdr:txBody>
        <a:bodyPr vertOverflow="clip" wrap="square" lIns="27432" tIns="22860" rIns="27432" bIns="22860" anchor="ctr" upright="1"/>
        <a:lstStyle/>
        <a:p>
          <a:pPr algn="ctr" rtl="0">
            <a:defRPr sz="1000"/>
          </a:pPr>
          <a:r>
            <a:rPr lang="en-US" sz="800" b="1" i="0" u="none" strike="noStrike" baseline="0">
              <a:solidFill>
                <a:srgbClr val="000000"/>
              </a:solidFill>
              <a:latin typeface="Arial"/>
              <a:cs typeface="Arial"/>
            </a:rPr>
            <a:t>+-Dev</a:t>
          </a:r>
        </a:p>
      </xdr:txBody>
    </xdr:sp>
    <xdr:clientData/>
  </xdr:twoCellAnchor>
  <xdr:twoCellAnchor>
    <xdr:from>
      <xdr:col>14</xdr:col>
      <xdr:colOff>0</xdr:colOff>
      <xdr:row>9</xdr:row>
      <xdr:rowOff>121920</xdr:rowOff>
    </xdr:from>
    <xdr:to>
      <xdr:col>14</xdr:col>
      <xdr:colOff>320040</xdr:colOff>
      <xdr:row>9</xdr:row>
      <xdr:rowOff>121920</xdr:rowOff>
    </xdr:to>
    <xdr:sp macro="" textlink="">
      <xdr:nvSpPr>
        <xdr:cNvPr id="3079" name="Line 7"/>
        <xdr:cNvSpPr>
          <a:spLocks noChangeShapeType="1"/>
        </xdr:cNvSpPr>
      </xdr:nvSpPr>
      <xdr:spPr bwMode="auto">
        <a:xfrm>
          <a:off x="5715000" y="2491740"/>
          <a:ext cx="320040" cy="0"/>
        </a:xfrm>
        <a:prstGeom prst="line">
          <a:avLst/>
        </a:prstGeom>
        <a:noFill/>
        <a:ln w="9525">
          <a:solidFill>
            <a:srgbClr val="000000"/>
          </a:solidFill>
          <a:round/>
          <a:headEnd/>
          <a:tailEnd/>
        </a:ln>
      </xdr:spPr>
    </xdr:sp>
    <xdr:clientData/>
  </xdr:twoCellAnchor>
  <xdr:twoCellAnchor>
    <xdr:from>
      <xdr:col>0</xdr:col>
      <xdr:colOff>0</xdr:colOff>
      <xdr:row>28</xdr:row>
      <xdr:rowOff>0</xdr:rowOff>
    </xdr:from>
    <xdr:to>
      <xdr:col>24</xdr:col>
      <xdr:colOff>7620</xdr:colOff>
      <xdr:row>28</xdr:row>
      <xdr:rowOff>0</xdr:rowOff>
    </xdr:to>
    <xdr:sp macro="" textlink="">
      <xdr:nvSpPr>
        <xdr:cNvPr id="3110" name="Line 38"/>
        <xdr:cNvSpPr>
          <a:spLocks noChangeShapeType="1"/>
        </xdr:cNvSpPr>
      </xdr:nvSpPr>
      <xdr:spPr bwMode="auto">
        <a:xfrm>
          <a:off x="0" y="7437120"/>
          <a:ext cx="9334500" cy="0"/>
        </a:xfrm>
        <a:prstGeom prst="line">
          <a:avLst/>
        </a:prstGeom>
        <a:noFill/>
        <a:ln w="25400">
          <a:solidFill>
            <a:srgbClr val="000000"/>
          </a:solidFill>
          <a:round/>
          <a:headEnd/>
          <a:tailEnd/>
        </a:ln>
      </xdr:spPr>
    </xdr:sp>
    <xdr:clientData/>
  </xdr:twoCellAnchor>
  <xdr:twoCellAnchor>
    <xdr:from>
      <xdr:col>0</xdr:col>
      <xdr:colOff>0</xdr:colOff>
      <xdr:row>1</xdr:row>
      <xdr:rowOff>0</xdr:rowOff>
    </xdr:from>
    <xdr:to>
      <xdr:col>0</xdr:col>
      <xdr:colOff>7620</xdr:colOff>
      <xdr:row>6</xdr:row>
      <xdr:rowOff>259080</xdr:rowOff>
    </xdr:to>
    <xdr:sp macro="" textlink="">
      <xdr:nvSpPr>
        <xdr:cNvPr id="3112" name="Line 40"/>
        <xdr:cNvSpPr>
          <a:spLocks noChangeShapeType="1"/>
        </xdr:cNvSpPr>
      </xdr:nvSpPr>
      <xdr:spPr bwMode="auto">
        <a:xfrm flipH="1">
          <a:off x="0" y="190500"/>
          <a:ext cx="7620" cy="1630680"/>
        </a:xfrm>
        <a:prstGeom prst="line">
          <a:avLst/>
        </a:prstGeom>
        <a:noFill/>
        <a:ln w="25400">
          <a:solidFill>
            <a:srgbClr val="000000"/>
          </a:solidFill>
          <a:round/>
          <a:headEnd/>
          <a:tailEnd/>
        </a:ln>
      </xdr:spPr>
    </xdr:sp>
    <xdr:clientData/>
  </xdr:twoCellAnchor>
  <xdr:twoCellAnchor>
    <xdr:from>
      <xdr:col>18</xdr:col>
      <xdr:colOff>7620</xdr:colOff>
      <xdr:row>5</xdr:row>
      <xdr:rowOff>266700</xdr:rowOff>
    </xdr:from>
    <xdr:to>
      <xdr:col>18</xdr:col>
      <xdr:colOff>7620</xdr:colOff>
      <xdr:row>7</xdr:row>
      <xdr:rowOff>15240</xdr:rowOff>
    </xdr:to>
    <xdr:sp macro="" textlink="">
      <xdr:nvSpPr>
        <xdr:cNvPr id="3118" name="Line 46"/>
        <xdr:cNvSpPr>
          <a:spLocks noChangeShapeType="1"/>
        </xdr:cNvSpPr>
      </xdr:nvSpPr>
      <xdr:spPr bwMode="auto">
        <a:xfrm>
          <a:off x="7002780" y="1554480"/>
          <a:ext cx="0" cy="297180"/>
        </a:xfrm>
        <a:prstGeom prst="line">
          <a:avLst/>
        </a:prstGeom>
        <a:noFill/>
        <a:ln w="25400">
          <a:solidFill>
            <a:srgbClr val="000000"/>
          </a:solidFill>
          <a:round/>
          <a:headEnd/>
          <a:tailEnd/>
        </a:ln>
        <a:effectLst/>
      </xdr:spPr>
    </xdr:sp>
    <xdr:clientData/>
  </xdr:twoCellAnchor>
  <xdr:twoCellAnchor>
    <xdr:from>
      <xdr:col>14</xdr:col>
      <xdr:colOff>0</xdr:colOff>
      <xdr:row>6</xdr:row>
      <xdr:rowOff>0</xdr:rowOff>
    </xdr:from>
    <xdr:to>
      <xdr:col>14</xdr:col>
      <xdr:colOff>0</xdr:colOff>
      <xdr:row>6</xdr:row>
      <xdr:rowOff>266700</xdr:rowOff>
    </xdr:to>
    <xdr:sp macro="" textlink="">
      <xdr:nvSpPr>
        <xdr:cNvPr id="3130" name="Line 58"/>
        <xdr:cNvSpPr>
          <a:spLocks noChangeShapeType="1"/>
        </xdr:cNvSpPr>
      </xdr:nvSpPr>
      <xdr:spPr bwMode="auto">
        <a:xfrm flipV="1">
          <a:off x="5715000" y="1562100"/>
          <a:ext cx="0" cy="266700"/>
        </a:xfrm>
        <a:prstGeom prst="line">
          <a:avLst/>
        </a:prstGeom>
        <a:noFill/>
        <a:ln w="9525">
          <a:solidFill>
            <a:srgbClr val="000000"/>
          </a:solidFill>
          <a:round/>
          <a:headEnd/>
          <a:tailEnd/>
        </a:ln>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5</xdr:row>
      <xdr:rowOff>0</xdr:rowOff>
    </xdr:from>
    <xdr:to>
      <xdr:col>12</xdr:col>
      <xdr:colOff>0</xdr:colOff>
      <xdr:row>16</xdr:row>
      <xdr:rowOff>167640</xdr:rowOff>
    </xdr:to>
    <xdr:graphicFrame macro="">
      <xdr:nvGraphicFramePr>
        <xdr:cNvPr id="2355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243840</xdr:rowOff>
    </xdr:from>
    <xdr:to>
      <xdr:col>12</xdr:col>
      <xdr:colOff>22860</xdr:colOff>
      <xdr:row>13</xdr:row>
      <xdr:rowOff>7620</xdr:rowOff>
    </xdr:to>
    <xdr:graphicFrame macro="">
      <xdr:nvGraphicFramePr>
        <xdr:cNvPr id="1945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0.01186</cdr:x>
      <cdr:y>0.03456</cdr:y>
    </cdr:from>
    <cdr:to>
      <cdr:x>0.01186</cdr:x>
      <cdr:y>0.03456</cdr:y>
    </cdr:to>
    <cdr:grpSp>
      <cdr:nvGrpSpPr>
        <cdr:cNvPr id="20488" name="Group 8"/>
        <cdr:cNvGrpSpPr>
          <a:grpSpLocks xmlns:a="http://schemas.openxmlformats.org/drawingml/2006/main"/>
        </cdr:cNvGrpSpPr>
      </cdr:nvGrpSpPr>
      <cdr:grpSpPr bwMode="auto">
        <a:xfrm xmlns:a="http://schemas.openxmlformats.org/drawingml/2006/main">
          <a:off x="51760" y="100656"/>
          <a:ext cx="0" cy="0"/>
          <a:chOff x="51760" y="100656"/>
          <a:chExt cx="0" cy="0"/>
        </a:xfrm>
      </cdr:grpSpPr>
    </cdr:grpSp>
  </cdr:relSizeAnchor>
</c:userShapes>
</file>

<file path=xl/drawings/drawing5.xml><?xml version="1.0" encoding="utf-8"?>
<xdr:wsDr xmlns:xdr="http://schemas.openxmlformats.org/drawingml/2006/spreadsheetDrawing" xmlns:a="http://schemas.openxmlformats.org/drawingml/2006/main">
  <xdr:twoCellAnchor>
    <xdr:from>
      <xdr:col>3</xdr:col>
      <xdr:colOff>0</xdr:colOff>
      <xdr:row>1</xdr:row>
      <xdr:rowOff>22860</xdr:rowOff>
    </xdr:from>
    <xdr:to>
      <xdr:col>10</xdr:col>
      <xdr:colOff>304800</xdr:colOff>
      <xdr:row>25</xdr:row>
      <xdr:rowOff>7620</xdr:rowOff>
    </xdr:to>
    <xdr:graphicFrame macro="">
      <xdr:nvGraphicFramePr>
        <xdr:cNvPr id="133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30480</xdr:colOff>
      <xdr:row>0</xdr:row>
      <xdr:rowOff>160020</xdr:rowOff>
    </xdr:from>
    <xdr:to>
      <xdr:col>25</xdr:col>
      <xdr:colOff>586740</xdr:colOff>
      <xdr:row>48</xdr:row>
      <xdr:rowOff>53340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1</xdr:row>
      <xdr:rowOff>22860</xdr:rowOff>
    </xdr:from>
    <xdr:to>
      <xdr:col>11</xdr:col>
      <xdr:colOff>0</xdr:colOff>
      <xdr:row>24</xdr:row>
      <xdr:rowOff>0</xdr:rowOff>
    </xdr:to>
    <xdr:graphicFrame macro="">
      <xdr:nvGraphicFramePr>
        <xdr:cNvPr id="143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29</xdr:row>
      <xdr:rowOff>22860</xdr:rowOff>
    </xdr:from>
    <xdr:to>
      <xdr:col>11</xdr:col>
      <xdr:colOff>0</xdr:colOff>
      <xdr:row>51</xdr:row>
      <xdr:rowOff>137160</xdr:rowOff>
    </xdr:to>
    <xdr:graphicFrame macro="">
      <xdr:nvGraphicFramePr>
        <xdr:cNvPr id="1433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579120</xdr:colOff>
      <xdr:row>1</xdr:row>
      <xdr:rowOff>38100</xdr:rowOff>
    </xdr:from>
    <xdr:to>
      <xdr:col>23</xdr:col>
      <xdr:colOff>7620</xdr:colOff>
      <xdr:row>24</xdr:row>
      <xdr:rowOff>30480</xdr:rowOff>
    </xdr:to>
    <xdr:graphicFrame macro="">
      <xdr:nvGraphicFramePr>
        <xdr:cNvPr id="1433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579120</xdr:colOff>
      <xdr:row>29</xdr:row>
      <xdr:rowOff>38100</xdr:rowOff>
    </xdr:from>
    <xdr:to>
      <xdr:col>22</xdr:col>
      <xdr:colOff>601980</xdr:colOff>
      <xdr:row>52</xdr:row>
      <xdr:rowOff>0</xdr:rowOff>
    </xdr:to>
    <xdr:graphicFrame macro="">
      <xdr:nvGraphicFramePr>
        <xdr:cNvPr id="1434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13</xdr:row>
      <xdr:rowOff>0</xdr:rowOff>
    </xdr:from>
    <xdr:to>
      <xdr:col>11</xdr:col>
      <xdr:colOff>601980</xdr:colOff>
      <xdr:row>38</xdr:row>
      <xdr:rowOff>22860</xdr:rowOff>
    </xdr:to>
    <xdr:graphicFrame macro="">
      <xdr:nvGraphicFramePr>
        <xdr:cNvPr id="1536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15240</xdr:colOff>
      <xdr:row>8</xdr:row>
      <xdr:rowOff>0</xdr:rowOff>
    </xdr:from>
    <xdr:to>
      <xdr:col>11</xdr:col>
      <xdr:colOff>38100</xdr:colOff>
      <xdr:row>32</xdr:row>
      <xdr:rowOff>121920</xdr:rowOff>
    </xdr:to>
    <xdr:graphicFrame macro="">
      <xdr:nvGraphicFramePr>
        <xdr:cNvPr id="1638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50</xdr:row>
      <xdr:rowOff>0</xdr:rowOff>
    </xdr:from>
    <xdr:to>
      <xdr:col>0</xdr:col>
      <xdr:colOff>152400</xdr:colOff>
      <xdr:row>50</xdr:row>
      <xdr:rowOff>152400</xdr:rowOff>
    </xdr:to>
    <xdr:pic>
      <xdr:nvPicPr>
        <xdr:cNvPr id="1026" name="Picture 2" descr="Default"/>
        <xdr:cNvPicPr>
          <a:picLocks noChangeAspect="1" noChangeArrowheads="1"/>
        </xdr:cNvPicPr>
      </xdr:nvPicPr>
      <xdr:blipFill>
        <a:blip xmlns:r="http://schemas.openxmlformats.org/officeDocument/2006/relationships" r:embed="rId2" cstate="print"/>
        <a:srcRect/>
        <a:stretch>
          <a:fillRect/>
        </a:stretch>
      </xdr:blipFill>
      <xdr:spPr bwMode="auto">
        <a:xfrm>
          <a:off x="0" y="6736080"/>
          <a:ext cx="152400" cy="152400"/>
        </a:xfrm>
        <a:prstGeom prst="rect">
          <a:avLst/>
        </a:prstGeom>
        <a:noFill/>
      </xdr:spPr>
    </xdr:pic>
    <xdr:clientData/>
  </xdr:twoCellAnchor>
  <xdr:twoCellAnchor editAs="oneCell">
    <xdr:from>
      <xdr:col>0</xdr:col>
      <xdr:colOff>0</xdr:colOff>
      <xdr:row>70</xdr:row>
      <xdr:rowOff>0</xdr:rowOff>
    </xdr:from>
    <xdr:to>
      <xdr:col>0</xdr:col>
      <xdr:colOff>152400</xdr:colOff>
      <xdr:row>70</xdr:row>
      <xdr:rowOff>152400</xdr:rowOff>
    </xdr:to>
    <xdr:pic>
      <xdr:nvPicPr>
        <xdr:cNvPr id="1028" name="Picture 4" descr="Default"/>
        <xdr:cNvPicPr>
          <a:picLocks noChangeAspect="1" noChangeArrowheads="1"/>
        </xdr:cNvPicPr>
      </xdr:nvPicPr>
      <xdr:blipFill>
        <a:blip xmlns:r="http://schemas.openxmlformats.org/officeDocument/2006/relationships" r:embed="rId2" cstate="print"/>
        <a:srcRect/>
        <a:stretch>
          <a:fillRect/>
        </a:stretch>
      </xdr:blipFill>
      <xdr:spPr bwMode="auto">
        <a:xfrm>
          <a:off x="0" y="10256520"/>
          <a:ext cx="152400" cy="1524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hyperlink" Target="http://forums.aopa.org/showpost.php?p=1339971&amp;postcount=14" TargetMode="External"/><Relationship Id="rId7" Type="http://schemas.openxmlformats.org/officeDocument/2006/relationships/vmlDrawing" Target="../drawings/vmlDrawing1.vml"/><Relationship Id="rId2" Type="http://schemas.openxmlformats.org/officeDocument/2006/relationships/hyperlink" Target="http://forums.aopa.org/member.php?u=10715" TargetMode="External"/><Relationship Id="rId1" Type="http://schemas.openxmlformats.org/officeDocument/2006/relationships/hyperlink" Target="http://forums.aopa.org/showpost.php?p=1339681&amp;postcount=7"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forums.aopa.org/member.php?u=3495" TargetMode="External"/></Relationships>
</file>

<file path=xl/worksheets/sheet1.xml><?xml version="1.0" encoding="utf-8"?>
<worksheet xmlns="http://schemas.openxmlformats.org/spreadsheetml/2006/main" xmlns:r="http://schemas.openxmlformats.org/officeDocument/2006/relationships">
  <dimension ref="A1:N63"/>
  <sheetViews>
    <sheetView workbookViewId="0">
      <selection activeCell="J20" sqref="J20:M20"/>
    </sheetView>
  </sheetViews>
  <sheetFormatPr defaultRowHeight="16.899999999999999" customHeight="1"/>
  <cols>
    <col min="1" max="1" width="2.77734375" style="87" customWidth="1"/>
    <col min="2" max="2" width="15.77734375" style="87" customWidth="1"/>
    <col min="3" max="3" width="5.77734375" style="87" customWidth="1"/>
    <col min="4" max="5" width="8.77734375" style="87" customWidth="1"/>
    <col min="6" max="6" width="8.77734375" style="88" customWidth="1"/>
    <col min="7" max="7" width="10.77734375" style="88" customWidth="1"/>
    <col min="8" max="8" width="11.77734375" style="87" customWidth="1"/>
    <col min="9" max="9" width="15.77734375" style="87" customWidth="1"/>
    <col min="10" max="10" width="5.77734375" style="99" customWidth="1"/>
    <col min="11" max="13" width="8.77734375" style="87" customWidth="1"/>
    <col min="14" max="14" width="10.77734375" style="87" customWidth="1"/>
    <col min="15" max="16384" width="8.88671875" style="87"/>
  </cols>
  <sheetData>
    <row r="1" spans="1:14" ht="16.899999999999999" customHeight="1">
      <c r="B1" s="89" t="s">
        <v>179</v>
      </c>
      <c r="C1" s="96">
        <v>1</v>
      </c>
      <c r="D1" s="375"/>
      <c r="E1" s="376"/>
      <c r="F1" s="377"/>
      <c r="I1" s="89" t="s">
        <v>179</v>
      </c>
      <c r="J1" s="366">
        <f>C28+1</f>
        <v>5</v>
      </c>
      <c r="K1" s="375"/>
      <c r="L1" s="376"/>
      <c r="M1" s="377"/>
      <c r="N1" s="88"/>
    </row>
    <row r="2" spans="1:14" s="84" customFormat="1" ht="16.899999999999999" customHeight="1" thickBot="1">
      <c r="B2" s="91" t="s">
        <v>183</v>
      </c>
      <c r="C2" s="382"/>
      <c r="D2" s="383"/>
      <c r="E2" s="383"/>
      <c r="F2" s="384"/>
      <c r="G2" s="85"/>
      <c r="I2" s="91" t="s">
        <v>183</v>
      </c>
      <c r="J2" s="382"/>
      <c r="K2" s="383"/>
      <c r="L2" s="383"/>
      <c r="M2" s="384"/>
      <c r="N2" s="85"/>
    </row>
    <row r="3" spans="1:14" s="82" customFormat="1" ht="16.899999999999999" customHeight="1">
      <c r="A3" s="81" t="s">
        <v>180</v>
      </c>
      <c r="B3" s="102" t="s">
        <v>184</v>
      </c>
      <c r="C3" s="100" t="s">
        <v>185</v>
      </c>
      <c r="D3" s="103" t="s">
        <v>186</v>
      </c>
      <c r="E3" s="101" t="s">
        <v>187</v>
      </c>
      <c r="F3" s="105" t="s">
        <v>188</v>
      </c>
      <c r="G3" s="81"/>
      <c r="H3" s="81" t="s">
        <v>180</v>
      </c>
      <c r="I3" s="102" t="s">
        <v>184</v>
      </c>
      <c r="J3" s="100" t="s">
        <v>185</v>
      </c>
      <c r="K3" s="103" t="s">
        <v>186</v>
      </c>
      <c r="L3" s="101" t="s">
        <v>187</v>
      </c>
      <c r="M3" s="105" t="s">
        <v>188</v>
      </c>
      <c r="N3" s="81"/>
    </row>
    <row r="4" spans="1:14" s="82" customFormat="1" ht="16.899999999999999" customHeight="1">
      <c r="A4" s="81" t="s">
        <v>181</v>
      </c>
      <c r="B4" s="92"/>
      <c r="C4" s="23"/>
      <c r="D4" s="37"/>
      <c r="E4" s="80"/>
      <c r="F4" s="106"/>
      <c r="G4" s="83"/>
      <c r="H4" s="81" t="s">
        <v>181</v>
      </c>
      <c r="I4" s="92"/>
      <c r="J4" s="23"/>
      <c r="K4" s="37"/>
      <c r="L4" s="80"/>
      <c r="M4" s="106"/>
      <c r="N4" s="83"/>
    </row>
    <row r="5" spans="1:14" s="82" customFormat="1" ht="16.899999999999999" customHeight="1" thickBot="1">
      <c r="A5" s="81" t="s">
        <v>182</v>
      </c>
      <c r="B5" s="93"/>
      <c r="C5" s="97"/>
      <c r="D5" s="104"/>
      <c r="E5" s="98"/>
      <c r="F5" s="107"/>
      <c r="G5" s="83"/>
      <c r="H5" s="81" t="s">
        <v>182</v>
      </c>
      <c r="I5" s="93"/>
      <c r="J5" s="97"/>
      <c r="K5" s="104"/>
      <c r="L5" s="98"/>
      <c r="M5" s="107"/>
      <c r="N5" s="83"/>
    </row>
    <row r="6" spans="1:14" s="84" customFormat="1" ht="16.899999999999999" customHeight="1">
      <c r="B6" s="94" t="s">
        <v>171</v>
      </c>
      <c r="C6" s="378"/>
      <c r="D6" s="376"/>
      <c r="E6" s="376"/>
      <c r="F6" s="377"/>
      <c r="G6" s="85"/>
      <c r="I6" s="94" t="s">
        <v>171</v>
      </c>
      <c r="J6" s="378"/>
      <c r="K6" s="376"/>
      <c r="L6" s="376"/>
      <c r="M6" s="377"/>
      <c r="N6" s="85"/>
    </row>
    <row r="7" spans="1:14" s="84" customFormat="1" ht="16.899999999999999" customHeight="1">
      <c r="B7" s="95" t="s">
        <v>172</v>
      </c>
      <c r="C7" s="379"/>
      <c r="D7" s="380"/>
      <c r="E7" s="380"/>
      <c r="F7" s="381"/>
      <c r="G7" s="85"/>
      <c r="I7" s="95" t="s">
        <v>172</v>
      </c>
      <c r="J7" s="379"/>
      <c r="K7" s="380"/>
      <c r="L7" s="380"/>
      <c r="M7" s="381"/>
      <c r="N7" s="85"/>
    </row>
    <row r="8" spans="1:14" s="84" customFormat="1" ht="16.899999999999999" customHeight="1" thickBot="1">
      <c r="B8" s="90" t="s">
        <v>170</v>
      </c>
      <c r="C8" s="372"/>
      <c r="D8" s="373"/>
      <c r="E8" s="373"/>
      <c r="F8" s="374"/>
      <c r="G8" s="85"/>
      <c r="I8" s="90" t="s">
        <v>170</v>
      </c>
      <c r="J8" s="372"/>
      <c r="K8" s="373"/>
      <c r="L8" s="373"/>
      <c r="M8" s="374"/>
      <c r="N8" s="85"/>
    </row>
    <row r="9" spans="1:14" s="84" customFormat="1" ht="16.899999999999999" customHeight="1" thickBot="1">
      <c r="B9" s="86"/>
      <c r="F9" s="85"/>
      <c r="G9" s="85"/>
      <c r="I9" s="86"/>
      <c r="J9" s="99"/>
      <c r="M9" s="85"/>
      <c r="N9" s="85"/>
    </row>
    <row r="10" spans="1:14" ht="16.899999999999999" customHeight="1">
      <c r="B10" s="89" t="s">
        <v>179</v>
      </c>
      <c r="C10" s="96">
        <f>C1+1</f>
        <v>2</v>
      </c>
      <c r="D10" s="375"/>
      <c r="E10" s="376"/>
      <c r="F10" s="377"/>
      <c r="I10" s="89" t="s">
        <v>179</v>
      </c>
      <c r="J10" s="96">
        <f>J1+1</f>
        <v>6</v>
      </c>
      <c r="K10" s="375"/>
      <c r="L10" s="376"/>
      <c r="M10" s="377"/>
      <c r="N10" s="88"/>
    </row>
    <row r="11" spans="1:14" ht="16.899999999999999" customHeight="1" thickBot="1">
      <c r="B11" s="91" t="s">
        <v>183</v>
      </c>
      <c r="C11" s="382"/>
      <c r="D11" s="383"/>
      <c r="E11" s="383"/>
      <c r="F11" s="384"/>
      <c r="G11" s="85"/>
      <c r="H11" s="84"/>
      <c r="I11" s="91" t="s">
        <v>183</v>
      </c>
      <c r="J11" s="382"/>
      <c r="K11" s="383"/>
      <c r="L11" s="383"/>
      <c r="M11" s="384"/>
      <c r="N11" s="85"/>
    </row>
    <row r="12" spans="1:14" ht="16.899999999999999" customHeight="1">
      <c r="A12" s="81" t="s">
        <v>180</v>
      </c>
      <c r="B12" s="102" t="s">
        <v>184</v>
      </c>
      <c r="C12" s="100" t="s">
        <v>185</v>
      </c>
      <c r="D12" s="103" t="s">
        <v>186</v>
      </c>
      <c r="E12" s="101" t="s">
        <v>187</v>
      </c>
      <c r="F12" s="105" t="s">
        <v>188</v>
      </c>
      <c r="G12" s="81"/>
      <c r="H12" s="81" t="s">
        <v>180</v>
      </c>
      <c r="I12" s="102" t="s">
        <v>184</v>
      </c>
      <c r="J12" s="100" t="s">
        <v>185</v>
      </c>
      <c r="K12" s="103" t="s">
        <v>186</v>
      </c>
      <c r="L12" s="101" t="s">
        <v>187</v>
      </c>
      <c r="M12" s="105" t="s">
        <v>188</v>
      </c>
      <c r="N12" s="82"/>
    </row>
    <row r="13" spans="1:14" ht="16.899999999999999" customHeight="1">
      <c r="A13" s="81" t="s">
        <v>181</v>
      </c>
      <c r="B13" s="92"/>
      <c r="C13" s="23"/>
      <c r="D13" s="37"/>
      <c r="E13" s="80"/>
      <c r="F13" s="106"/>
      <c r="G13" s="83"/>
      <c r="H13" s="81" t="s">
        <v>181</v>
      </c>
      <c r="I13" s="92"/>
      <c r="J13" s="23"/>
      <c r="K13" s="37"/>
      <c r="L13" s="80"/>
      <c r="M13" s="106"/>
      <c r="N13" s="83"/>
    </row>
    <row r="14" spans="1:14" ht="16.899999999999999" customHeight="1" thickBot="1">
      <c r="A14" s="81" t="s">
        <v>182</v>
      </c>
      <c r="B14" s="93"/>
      <c r="C14" s="97"/>
      <c r="D14" s="104"/>
      <c r="E14" s="98"/>
      <c r="F14" s="107"/>
      <c r="G14" s="83"/>
      <c r="H14" s="81" t="s">
        <v>182</v>
      </c>
      <c r="I14" s="93"/>
      <c r="J14" s="97"/>
      <c r="K14" s="104"/>
      <c r="L14" s="98"/>
      <c r="M14" s="107"/>
      <c r="N14" s="83"/>
    </row>
    <row r="15" spans="1:14" ht="16.899999999999999" customHeight="1">
      <c r="B15" s="94" t="s">
        <v>171</v>
      </c>
      <c r="C15" s="378"/>
      <c r="D15" s="376"/>
      <c r="E15" s="376"/>
      <c r="F15" s="377"/>
      <c r="G15" s="85"/>
      <c r="H15" s="84"/>
      <c r="I15" s="94" t="s">
        <v>171</v>
      </c>
      <c r="J15" s="378"/>
      <c r="K15" s="376"/>
      <c r="L15" s="376"/>
      <c r="M15" s="377"/>
      <c r="N15" s="85"/>
    </row>
    <row r="16" spans="1:14" ht="16.899999999999999" customHeight="1">
      <c r="B16" s="95" t="s">
        <v>172</v>
      </c>
      <c r="C16" s="379"/>
      <c r="D16" s="380"/>
      <c r="E16" s="380"/>
      <c r="F16" s="381"/>
      <c r="G16" s="85"/>
      <c r="H16" s="84"/>
      <c r="I16" s="95" t="s">
        <v>172</v>
      </c>
      <c r="J16" s="379"/>
      <c r="K16" s="380"/>
      <c r="L16" s="380"/>
      <c r="M16" s="381"/>
      <c r="N16" s="85"/>
    </row>
    <row r="17" spans="1:14" ht="16.899999999999999" customHeight="1" thickBot="1">
      <c r="B17" s="90" t="s">
        <v>170</v>
      </c>
      <c r="C17" s="372"/>
      <c r="D17" s="373"/>
      <c r="E17" s="373"/>
      <c r="F17" s="374"/>
      <c r="G17" s="85"/>
      <c r="H17" s="84"/>
      <c r="I17" s="90" t="s">
        <v>170</v>
      </c>
      <c r="J17" s="372"/>
      <c r="K17" s="373"/>
      <c r="L17" s="373"/>
      <c r="M17" s="374"/>
      <c r="N17" s="85"/>
    </row>
    <row r="18" spans="1:14" ht="16.899999999999999" customHeight="1" thickBot="1">
      <c r="B18" s="86"/>
      <c r="C18" s="84"/>
      <c r="D18" s="84"/>
      <c r="E18" s="84"/>
      <c r="F18" s="85"/>
      <c r="G18" s="85"/>
      <c r="H18" s="84"/>
      <c r="I18" s="86"/>
      <c r="K18" s="84"/>
      <c r="L18" s="84"/>
      <c r="M18" s="85"/>
      <c r="N18" s="85"/>
    </row>
    <row r="19" spans="1:14" ht="16.899999999999999" customHeight="1">
      <c r="B19" s="89" t="s">
        <v>179</v>
      </c>
      <c r="C19" s="96">
        <f>C10+1</f>
        <v>3</v>
      </c>
      <c r="D19" s="375"/>
      <c r="E19" s="376"/>
      <c r="F19" s="377"/>
      <c r="G19" s="87"/>
      <c r="I19" s="89" t="s">
        <v>179</v>
      </c>
      <c r="J19" s="96">
        <f>J10+1</f>
        <v>7</v>
      </c>
      <c r="K19" s="375"/>
      <c r="L19" s="376"/>
      <c r="M19" s="377"/>
      <c r="N19" s="88"/>
    </row>
    <row r="20" spans="1:14" ht="16.899999999999999" customHeight="1" thickBot="1">
      <c r="B20" s="91" t="s">
        <v>183</v>
      </c>
      <c r="C20" s="382"/>
      <c r="D20" s="383"/>
      <c r="E20" s="383"/>
      <c r="F20" s="384"/>
      <c r="G20" s="85"/>
      <c r="H20" s="84"/>
      <c r="I20" s="91" t="s">
        <v>183</v>
      </c>
      <c r="J20" s="382"/>
      <c r="K20" s="383"/>
      <c r="L20" s="383"/>
      <c r="M20" s="384"/>
      <c r="N20" s="85"/>
    </row>
    <row r="21" spans="1:14" ht="16.899999999999999" customHeight="1">
      <c r="A21" s="81" t="s">
        <v>180</v>
      </c>
      <c r="B21" s="102" t="s">
        <v>184</v>
      </c>
      <c r="C21" s="100" t="s">
        <v>185</v>
      </c>
      <c r="D21" s="103" t="s">
        <v>186</v>
      </c>
      <c r="E21" s="101" t="s">
        <v>187</v>
      </c>
      <c r="F21" s="105" t="s">
        <v>188</v>
      </c>
      <c r="G21" s="81"/>
      <c r="H21" s="81" t="s">
        <v>180</v>
      </c>
      <c r="I21" s="102" t="s">
        <v>184</v>
      </c>
      <c r="J21" s="100" t="s">
        <v>185</v>
      </c>
      <c r="K21" s="103" t="s">
        <v>186</v>
      </c>
      <c r="L21" s="101" t="s">
        <v>187</v>
      </c>
      <c r="M21" s="105" t="s">
        <v>188</v>
      </c>
      <c r="N21" s="81"/>
    </row>
    <row r="22" spans="1:14" ht="16.899999999999999" customHeight="1">
      <c r="A22" s="81" t="s">
        <v>181</v>
      </c>
      <c r="B22" s="92"/>
      <c r="C22" s="23"/>
      <c r="D22" s="37"/>
      <c r="E22" s="80"/>
      <c r="F22" s="106"/>
      <c r="G22" s="83"/>
      <c r="H22" s="81" t="s">
        <v>181</v>
      </c>
      <c r="I22" s="92"/>
      <c r="J22" s="23"/>
      <c r="K22" s="37"/>
      <c r="L22" s="80"/>
      <c r="M22" s="106"/>
      <c r="N22" s="83"/>
    </row>
    <row r="23" spans="1:14" ht="16.899999999999999" customHeight="1" thickBot="1">
      <c r="A23" s="81" t="s">
        <v>182</v>
      </c>
      <c r="B23" s="93"/>
      <c r="C23" s="97"/>
      <c r="D23" s="104"/>
      <c r="E23" s="98"/>
      <c r="F23" s="107"/>
      <c r="G23" s="83"/>
      <c r="H23" s="81" t="s">
        <v>182</v>
      </c>
      <c r="I23" s="93"/>
      <c r="J23" s="97"/>
      <c r="K23" s="104"/>
      <c r="L23" s="98"/>
      <c r="M23" s="107"/>
      <c r="N23" s="83"/>
    </row>
    <row r="24" spans="1:14" ht="16.899999999999999" customHeight="1">
      <c r="B24" s="94" t="s">
        <v>171</v>
      </c>
      <c r="C24" s="378"/>
      <c r="D24" s="376"/>
      <c r="E24" s="376"/>
      <c r="F24" s="377"/>
      <c r="G24" s="85"/>
      <c r="H24" s="84"/>
      <c r="I24" s="94" t="s">
        <v>171</v>
      </c>
      <c r="J24" s="378"/>
      <c r="K24" s="376"/>
      <c r="L24" s="376"/>
      <c r="M24" s="377"/>
      <c r="N24" s="85"/>
    </row>
    <row r="25" spans="1:14" ht="16.899999999999999" customHeight="1">
      <c r="B25" s="95" t="s">
        <v>172</v>
      </c>
      <c r="C25" s="379"/>
      <c r="D25" s="380"/>
      <c r="E25" s="380"/>
      <c r="F25" s="381"/>
      <c r="G25" s="85"/>
      <c r="H25" s="84"/>
      <c r="I25" s="95" t="s">
        <v>172</v>
      </c>
      <c r="J25" s="379"/>
      <c r="K25" s="380"/>
      <c r="L25" s="380"/>
      <c r="M25" s="381"/>
      <c r="N25" s="85"/>
    </row>
    <row r="26" spans="1:14" ht="16.899999999999999" customHeight="1" thickBot="1">
      <c r="B26" s="90" t="s">
        <v>170</v>
      </c>
      <c r="C26" s="372"/>
      <c r="D26" s="373"/>
      <c r="E26" s="373"/>
      <c r="F26" s="374"/>
      <c r="G26" s="85"/>
      <c r="H26" s="84"/>
      <c r="I26" s="90" t="s">
        <v>170</v>
      </c>
      <c r="J26" s="372"/>
      <c r="K26" s="373"/>
      <c r="L26" s="373"/>
      <c r="M26" s="374"/>
      <c r="N26" s="85"/>
    </row>
    <row r="27" spans="1:14" ht="16.899999999999999" customHeight="1" thickBot="1">
      <c r="B27" s="86"/>
      <c r="C27" s="84"/>
      <c r="D27" s="84"/>
      <c r="E27" s="84"/>
      <c r="F27" s="85"/>
      <c r="G27" s="85"/>
      <c r="H27" s="84"/>
      <c r="I27" s="86"/>
      <c r="K27" s="84"/>
      <c r="L27" s="84"/>
      <c r="M27" s="85"/>
      <c r="N27" s="85"/>
    </row>
    <row r="28" spans="1:14" ht="16.899999999999999" customHeight="1">
      <c r="B28" s="89" t="s">
        <v>179</v>
      </c>
      <c r="C28" s="96">
        <f>C19+1</f>
        <v>4</v>
      </c>
      <c r="D28" s="375"/>
      <c r="E28" s="376"/>
      <c r="F28" s="377"/>
      <c r="I28" s="89" t="s">
        <v>179</v>
      </c>
      <c r="J28" s="96">
        <f>J19+1</f>
        <v>8</v>
      </c>
      <c r="K28" s="375"/>
      <c r="L28" s="376"/>
      <c r="M28" s="377"/>
    </row>
    <row r="29" spans="1:14" ht="16.899999999999999" customHeight="1" thickBot="1">
      <c r="B29" s="91" t="s">
        <v>183</v>
      </c>
      <c r="C29" s="382"/>
      <c r="D29" s="383"/>
      <c r="E29" s="383"/>
      <c r="F29" s="384"/>
      <c r="I29" s="91" t="s">
        <v>183</v>
      </c>
      <c r="J29" s="382"/>
      <c r="K29" s="383"/>
      <c r="L29" s="383"/>
      <c r="M29" s="384"/>
    </row>
    <row r="30" spans="1:14" ht="16.899999999999999" customHeight="1">
      <c r="A30" s="81" t="s">
        <v>180</v>
      </c>
      <c r="B30" s="102" t="s">
        <v>184</v>
      </c>
      <c r="C30" s="100" t="s">
        <v>185</v>
      </c>
      <c r="D30" s="103" t="s">
        <v>186</v>
      </c>
      <c r="E30" s="101" t="s">
        <v>187</v>
      </c>
      <c r="F30" s="105" t="s">
        <v>188</v>
      </c>
      <c r="H30" s="81" t="s">
        <v>180</v>
      </c>
      <c r="I30" s="102" t="s">
        <v>184</v>
      </c>
      <c r="J30" s="100" t="s">
        <v>185</v>
      </c>
      <c r="K30" s="103" t="s">
        <v>186</v>
      </c>
      <c r="L30" s="101" t="s">
        <v>187</v>
      </c>
      <c r="M30" s="105" t="s">
        <v>188</v>
      </c>
    </row>
    <row r="31" spans="1:14" ht="16.899999999999999" customHeight="1">
      <c r="A31" s="81" t="s">
        <v>181</v>
      </c>
      <c r="B31" s="92"/>
      <c r="C31" s="23"/>
      <c r="D31" s="37"/>
      <c r="E31" s="80"/>
      <c r="F31" s="106"/>
      <c r="H31" s="81" t="s">
        <v>181</v>
      </c>
      <c r="I31" s="92"/>
      <c r="J31" s="23"/>
      <c r="K31" s="37"/>
      <c r="L31" s="80"/>
      <c r="M31" s="106"/>
    </row>
    <row r="32" spans="1:14" ht="16.899999999999999" customHeight="1" thickBot="1">
      <c r="A32" s="81" t="s">
        <v>182</v>
      </c>
      <c r="B32" s="93"/>
      <c r="C32" s="97"/>
      <c r="D32" s="104"/>
      <c r="E32" s="98"/>
      <c r="F32" s="107"/>
      <c r="H32" s="81" t="s">
        <v>182</v>
      </c>
      <c r="I32" s="93"/>
      <c r="J32" s="97"/>
      <c r="K32" s="104"/>
      <c r="L32" s="98"/>
      <c r="M32" s="107"/>
    </row>
    <row r="33" spans="2:13" ht="16.899999999999999" customHeight="1">
      <c r="B33" s="94" t="s">
        <v>171</v>
      </c>
      <c r="C33" s="378"/>
      <c r="D33" s="376"/>
      <c r="E33" s="376"/>
      <c r="F33" s="377"/>
      <c r="I33" s="94" t="s">
        <v>171</v>
      </c>
      <c r="J33" s="378"/>
      <c r="K33" s="376"/>
      <c r="L33" s="376"/>
      <c r="M33" s="377"/>
    </row>
    <row r="34" spans="2:13" ht="16.899999999999999" customHeight="1">
      <c r="B34" s="95" t="s">
        <v>172</v>
      </c>
      <c r="C34" s="379"/>
      <c r="D34" s="380"/>
      <c r="E34" s="380"/>
      <c r="F34" s="381"/>
      <c r="I34" s="95" t="s">
        <v>172</v>
      </c>
      <c r="J34" s="379"/>
      <c r="K34" s="380"/>
      <c r="L34" s="380"/>
      <c r="M34" s="381"/>
    </row>
    <row r="35" spans="2:13" ht="16.899999999999999" customHeight="1" thickBot="1">
      <c r="B35" s="90" t="s">
        <v>170</v>
      </c>
      <c r="C35" s="372"/>
      <c r="D35" s="373"/>
      <c r="E35" s="373"/>
      <c r="F35" s="374"/>
      <c r="I35" s="90" t="s">
        <v>170</v>
      </c>
      <c r="J35" s="372"/>
      <c r="K35" s="373"/>
      <c r="L35" s="373"/>
      <c r="M35" s="374"/>
    </row>
    <row r="60" spans="2:8" ht="16.899999999999999" customHeight="1">
      <c r="B60" s="81"/>
      <c r="C60" s="82"/>
      <c r="D60" s="82"/>
      <c r="E60" s="82"/>
      <c r="F60" s="83"/>
      <c r="G60" s="83"/>
      <c r="H60" s="82"/>
    </row>
    <row r="61" spans="2:8" ht="16.899999999999999" customHeight="1">
      <c r="B61" s="86"/>
      <c r="C61" s="84"/>
      <c r="D61" s="84"/>
      <c r="E61" s="84"/>
      <c r="F61" s="85"/>
      <c r="G61" s="85"/>
      <c r="H61" s="84"/>
    </row>
    <row r="62" spans="2:8" ht="16.899999999999999" customHeight="1">
      <c r="B62" s="86"/>
      <c r="C62" s="84"/>
      <c r="D62" s="84"/>
      <c r="E62" s="84"/>
      <c r="F62" s="85"/>
      <c r="G62" s="85"/>
      <c r="H62" s="84"/>
    </row>
    <row r="63" spans="2:8" ht="16.899999999999999" customHeight="1">
      <c r="B63" s="86"/>
      <c r="C63" s="84"/>
      <c r="D63" s="84"/>
      <c r="E63" s="84"/>
      <c r="F63" s="85"/>
      <c r="G63" s="85"/>
      <c r="H63" s="84"/>
    </row>
  </sheetData>
  <sheetProtection sheet="1" objects="1" scenarios="1"/>
  <mergeCells count="40">
    <mergeCell ref="C25:F25"/>
    <mergeCell ref="C26:F26"/>
    <mergeCell ref="J20:M20"/>
    <mergeCell ref="J25:M25"/>
    <mergeCell ref="J26:M26"/>
    <mergeCell ref="J24:M24"/>
    <mergeCell ref="C20:F20"/>
    <mergeCell ref="C24:F24"/>
    <mergeCell ref="D1:F1"/>
    <mergeCell ref="J16:M16"/>
    <mergeCell ref="J6:M6"/>
    <mergeCell ref="J7:M7"/>
    <mergeCell ref="J8:M8"/>
    <mergeCell ref="D10:F10"/>
    <mergeCell ref="K1:M1"/>
    <mergeCell ref="K10:M10"/>
    <mergeCell ref="C2:F2"/>
    <mergeCell ref="C11:F11"/>
    <mergeCell ref="C15:F15"/>
    <mergeCell ref="C16:F16"/>
    <mergeCell ref="J2:M2"/>
    <mergeCell ref="J11:M11"/>
    <mergeCell ref="C6:F6"/>
    <mergeCell ref="C7:F7"/>
    <mergeCell ref="C8:F8"/>
    <mergeCell ref="C35:F35"/>
    <mergeCell ref="K28:M28"/>
    <mergeCell ref="J33:M33"/>
    <mergeCell ref="J34:M34"/>
    <mergeCell ref="J35:M35"/>
    <mergeCell ref="C29:F29"/>
    <mergeCell ref="J29:M29"/>
    <mergeCell ref="D28:F28"/>
    <mergeCell ref="C33:F33"/>
    <mergeCell ref="C34:F34"/>
    <mergeCell ref="C17:F17"/>
    <mergeCell ref="J15:M15"/>
    <mergeCell ref="D19:F19"/>
    <mergeCell ref="K19:M19"/>
    <mergeCell ref="J17:M17"/>
  </mergeCells>
  <phoneticPr fontId="19" type="noConversion"/>
  <pageMargins left="0.81" right="0.68" top="0.4" bottom="0.36" header="0.39" footer="0.37"/>
  <pageSetup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D68"/>
  <sheetViews>
    <sheetView workbookViewId="0">
      <selection activeCell="A5" sqref="A5"/>
    </sheetView>
  </sheetViews>
  <sheetFormatPr defaultColWidth="9.109375" defaultRowHeight="15.05"/>
  <cols>
    <col min="1" max="1" width="15.6640625" style="69" customWidth="1"/>
    <col min="2" max="2" width="15.6640625" style="67" customWidth="1"/>
    <col min="3" max="3" width="14.6640625" style="67" customWidth="1"/>
    <col min="4" max="4" width="15.6640625" style="66" customWidth="1"/>
    <col min="5" max="16384" width="9.109375" style="65"/>
  </cols>
  <sheetData>
    <row r="1" spans="1:4">
      <c r="A1" s="68" t="s">
        <v>165</v>
      </c>
    </row>
    <row r="2" spans="1:4">
      <c r="A2" s="68"/>
    </row>
    <row r="3" spans="1:4" s="73" customFormat="1">
      <c r="A3" s="70" t="s">
        <v>3</v>
      </c>
      <c r="B3" s="71" t="s">
        <v>126</v>
      </c>
      <c r="C3" s="71" t="s">
        <v>168</v>
      </c>
      <c r="D3" s="72" t="s">
        <v>167</v>
      </c>
    </row>
    <row r="4" spans="1:4">
      <c r="A4" s="117">
        <v>4500</v>
      </c>
      <c r="B4" s="67">
        <f>LOOKUP(A4,A8:A68,B8:B68)</f>
        <v>6.0846</v>
      </c>
      <c r="C4" s="67">
        <f>LOOKUP(A4,A8:A68,C8:C68)</f>
        <v>42.952300000000001</v>
      </c>
      <c r="D4" s="66">
        <f>LOOKUP(A4,A8:A68,D8:D68)</f>
        <v>25.365300000000001</v>
      </c>
    </row>
    <row r="7" spans="1:4" s="73" customFormat="1">
      <c r="A7" s="70" t="s">
        <v>166</v>
      </c>
      <c r="B7" s="71" t="s">
        <v>126</v>
      </c>
      <c r="C7" s="71" t="s">
        <v>168</v>
      </c>
      <c r="D7" s="72" t="s">
        <v>167</v>
      </c>
    </row>
    <row r="8" spans="1:4">
      <c r="A8" s="69">
        <v>0</v>
      </c>
      <c r="B8" s="67">
        <v>15</v>
      </c>
      <c r="C8" s="67">
        <v>59</v>
      </c>
      <c r="D8" s="66">
        <v>29.921299999999999</v>
      </c>
    </row>
    <row r="9" spans="1:4">
      <c r="A9" s="69">
        <v>250</v>
      </c>
      <c r="B9" s="67">
        <v>14.5047</v>
      </c>
      <c r="C9" s="67">
        <v>58.108499999999999</v>
      </c>
      <c r="D9" s="66">
        <v>29.651900000000001</v>
      </c>
    </row>
    <row r="10" spans="1:4">
      <c r="A10" s="69">
        <v>500</v>
      </c>
      <c r="B10" s="67">
        <v>14.009399999999999</v>
      </c>
      <c r="C10" s="67">
        <v>57.216900000000003</v>
      </c>
      <c r="D10" s="66">
        <v>29.384599999999999</v>
      </c>
    </row>
    <row r="11" spans="1:4">
      <c r="A11" s="69">
        <v>750</v>
      </c>
      <c r="B11" s="67">
        <v>13.514099999999999</v>
      </c>
      <c r="C11" s="67">
        <v>56.325400000000002</v>
      </c>
      <c r="D11" s="66">
        <v>29.119199999999999</v>
      </c>
    </row>
    <row r="12" spans="1:4">
      <c r="A12" s="69">
        <v>1000</v>
      </c>
      <c r="B12" s="67">
        <v>13.018800000000001</v>
      </c>
      <c r="C12" s="67">
        <v>55.433799999999998</v>
      </c>
      <c r="D12" s="66">
        <v>28.855699999999999</v>
      </c>
    </row>
    <row r="13" spans="1:4">
      <c r="A13" s="69">
        <v>1250</v>
      </c>
      <c r="B13" s="67">
        <v>12.5235</v>
      </c>
      <c r="C13" s="67">
        <v>54.542299999999997</v>
      </c>
      <c r="D13" s="66">
        <v>28.594200000000001</v>
      </c>
    </row>
    <row r="14" spans="1:4">
      <c r="A14" s="69">
        <v>1500</v>
      </c>
      <c r="B14" s="67">
        <v>12.0282</v>
      </c>
      <c r="C14" s="67">
        <v>53.650799999999997</v>
      </c>
      <c r="D14" s="66">
        <v>28.334599999999998</v>
      </c>
    </row>
    <row r="15" spans="1:4">
      <c r="A15" s="69">
        <v>1750</v>
      </c>
      <c r="B15" s="67">
        <v>11.5329</v>
      </c>
      <c r="C15" s="67">
        <v>52.7592</v>
      </c>
      <c r="D15" s="66">
        <v>28.076899999999998</v>
      </c>
    </row>
    <row r="16" spans="1:4">
      <c r="A16" s="69">
        <v>2000</v>
      </c>
      <c r="B16" s="67">
        <v>11.037599999999999</v>
      </c>
      <c r="C16" s="67">
        <v>51.867699999999999</v>
      </c>
      <c r="D16" s="66">
        <v>27.821100000000001</v>
      </c>
    </row>
    <row r="17" spans="1:4">
      <c r="A17" s="69">
        <v>2250</v>
      </c>
      <c r="B17" s="67">
        <v>10.542299999999999</v>
      </c>
      <c r="C17" s="67">
        <v>50.976100000000002</v>
      </c>
      <c r="D17" s="66">
        <v>27.5672</v>
      </c>
    </row>
    <row r="18" spans="1:4">
      <c r="A18" s="69">
        <v>2500</v>
      </c>
      <c r="B18" s="67">
        <v>10.047000000000001</v>
      </c>
      <c r="C18" s="67">
        <v>50.084600000000002</v>
      </c>
      <c r="D18" s="66">
        <v>27.315100000000001</v>
      </c>
    </row>
    <row r="19" spans="1:4">
      <c r="A19" s="69">
        <v>2750</v>
      </c>
      <c r="B19" s="67">
        <v>9.5517000000000003</v>
      </c>
      <c r="C19" s="67">
        <v>49.193100000000001</v>
      </c>
      <c r="D19" s="66">
        <v>27.065000000000001</v>
      </c>
    </row>
    <row r="20" spans="1:4">
      <c r="A20" s="69">
        <v>3000</v>
      </c>
      <c r="B20" s="67">
        <v>9.0564</v>
      </c>
      <c r="C20" s="67">
        <v>48.301499999999997</v>
      </c>
      <c r="D20" s="66">
        <v>26.816700000000001</v>
      </c>
    </row>
    <row r="21" spans="1:4">
      <c r="A21" s="69">
        <v>3250</v>
      </c>
      <c r="B21" s="67">
        <v>8.5610999999999997</v>
      </c>
      <c r="C21" s="67">
        <v>47.41</v>
      </c>
      <c r="D21" s="66">
        <v>26.5702</v>
      </c>
    </row>
    <row r="22" spans="1:4">
      <c r="A22" s="69">
        <v>3500</v>
      </c>
      <c r="B22" s="67">
        <v>8.0657999999999994</v>
      </c>
      <c r="C22" s="67">
        <v>46.5184</v>
      </c>
      <c r="D22" s="66">
        <v>26.325600000000001</v>
      </c>
    </row>
    <row r="23" spans="1:4">
      <c r="A23" s="69">
        <v>3750</v>
      </c>
      <c r="B23" s="67">
        <v>7.5705</v>
      </c>
      <c r="C23" s="67">
        <v>45.626899999999999</v>
      </c>
      <c r="D23" s="66">
        <v>26.082799999999999</v>
      </c>
    </row>
    <row r="24" spans="1:4">
      <c r="A24" s="69">
        <v>4000</v>
      </c>
      <c r="B24" s="67">
        <v>7.0751999999999997</v>
      </c>
      <c r="C24" s="67">
        <v>44.735399999999998</v>
      </c>
      <c r="D24" s="66">
        <v>25.841899999999999</v>
      </c>
    </row>
    <row r="25" spans="1:4">
      <c r="A25" s="69">
        <v>4250</v>
      </c>
      <c r="B25" s="67">
        <v>6.5799000000000003</v>
      </c>
      <c r="C25" s="67">
        <v>43.843800000000002</v>
      </c>
      <c r="D25" s="66">
        <v>25.602699999999999</v>
      </c>
    </row>
    <row r="26" spans="1:4">
      <c r="A26" s="69">
        <v>4500</v>
      </c>
      <c r="B26" s="67">
        <v>6.0846</v>
      </c>
      <c r="C26" s="67">
        <v>42.952300000000001</v>
      </c>
      <c r="D26" s="66">
        <v>25.365300000000001</v>
      </c>
    </row>
    <row r="27" spans="1:4">
      <c r="A27" s="69">
        <v>4750</v>
      </c>
      <c r="B27" s="67">
        <v>5.5892999999999997</v>
      </c>
      <c r="C27" s="67">
        <v>42.060699999999997</v>
      </c>
      <c r="D27" s="66">
        <v>25.1297</v>
      </c>
    </row>
    <row r="28" spans="1:4">
      <c r="A28" s="69">
        <v>5000</v>
      </c>
      <c r="B28" s="67">
        <v>5.0940000000000003</v>
      </c>
      <c r="C28" s="67">
        <v>41.169199999999996</v>
      </c>
      <c r="D28" s="66">
        <v>24.895900000000001</v>
      </c>
    </row>
    <row r="29" spans="1:4">
      <c r="A29" s="69">
        <v>5250</v>
      </c>
      <c r="B29" s="67">
        <v>4.5987</v>
      </c>
      <c r="C29" s="67">
        <v>40.277700000000003</v>
      </c>
      <c r="D29" s="66">
        <v>24.663900000000002</v>
      </c>
    </row>
    <row r="30" spans="1:4">
      <c r="A30" s="69">
        <v>5500</v>
      </c>
      <c r="B30" s="67">
        <v>4.1033999999999997</v>
      </c>
      <c r="C30" s="67">
        <v>39.386099999999999</v>
      </c>
      <c r="D30" s="66">
        <v>24.433599999999998</v>
      </c>
    </row>
    <row r="31" spans="1:4">
      <c r="A31" s="69">
        <v>5750</v>
      </c>
      <c r="B31" s="67">
        <v>3.6080999999999999</v>
      </c>
      <c r="C31" s="67">
        <v>38.494599999999998</v>
      </c>
      <c r="D31" s="66">
        <v>24.204999999999998</v>
      </c>
    </row>
    <row r="32" spans="1:4">
      <c r="A32" s="69">
        <v>6000</v>
      </c>
      <c r="B32" s="67">
        <v>3.1128</v>
      </c>
      <c r="C32" s="67">
        <v>37.603000000000002</v>
      </c>
      <c r="D32" s="66">
        <v>23.978200000000001</v>
      </c>
    </row>
    <row r="33" spans="1:4">
      <c r="A33" s="69">
        <v>6250</v>
      </c>
      <c r="B33" s="67">
        <v>2.6175000000000002</v>
      </c>
      <c r="C33" s="67">
        <v>36.711500000000001</v>
      </c>
      <c r="D33" s="66">
        <v>23.7531</v>
      </c>
    </row>
    <row r="34" spans="1:4">
      <c r="A34" s="69">
        <v>6500</v>
      </c>
      <c r="B34" s="67">
        <v>2.1221999999999999</v>
      </c>
      <c r="C34" s="67">
        <v>35.82</v>
      </c>
      <c r="D34" s="66">
        <v>23.529800000000002</v>
      </c>
    </row>
    <row r="35" spans="1:4">
      <c r="A35" s="69">
        <v>6750</v>
      </c>
      <c r="B35" s="67">
        <v>1.6269</v>
      </c>
      <c r="C35" s="67">
        <v>34.928400000000003</v>
      </c>
      <c r="D35" s="66">
        <v>23.3081</v>
      </c>
    </row>
    <row r="36" spans="1:4">
      <c r="A36" s="69">
        <v>7000</v>
      </c>
      <c r="B36" s="67">
        <v>1.1315999999999999</v>
      </c>
      <c r="C36" s="67">
        <v>34.036900000000003</v>
      </c>
      <c r="D36" s="66">
        <v>23.088100000000001</v>
      </c>
    </row>
    <row r="37" spans="1:4">
      <c r="A37" s="69">
        <v>7250</v>
      </c>
      <c r="B37" s="67">
        <v>0.63629999999999998</v>
      </c>
      <c r="C37" s="67">
        <v>33.145299999999999</v>
      </c>
      <c r="D37" s="66">
        <v>22.869800000000001</v>
      </c>
    </row>
    <row r="38" spans="1:4">
      <c r="A38" s="69">
        <v>7500</v>
      </c>
      <c r="B38" s="67">
        <v>0.14099999999999999</v>
      </c>
      <c r="C38" s="67">
        <v>32.253799999999998</v>
      </c>
      <c r="D38" s="66">
        <v>22.653199999999998</v>
      </c>
    </row>
    <row r="39" spans="1:4">
      <c r="A39" s="69">
        <v>7750</v>
      </c>
      <c r="B39" s="67">
        <v>-0.3543</v>
      </c>
      <c r="C39" s="67">
        <v>31.362300000000001</v>
      </c>
      <c r="D39" s="66">
        <v>22.438300000000002</v>
      </c>
    </row>
    <row r="40" spans="1:4">
      <c r="A40" s="69">
        <v>8000</v>
      </c>
      <c r="B40" s="67">
        <v>-0.84960000000000002</v>
      </c>
      <c r="C40" s="67">
        <v>30.470700000000001</v>
      </c>
      <c r="D40" s="66">
        <v>22.225000000000001</v>
      </c>
    </row>
    <row r="41" spans="1:4">
      <c r="A41" s="69">
        <v>8250</v>
      </c>
      <c r="B41" s="67">
        <v>-1.3449</v>
      </c>
      <c r="C41" s="67">
        <v>29.5792</v>
      </c>
      <c r="D41" s="66">
        <v>22.013300000000001</v>
      </c>
    </row>
    <row r="42" spans="1:4">
      <c r="A42" s="69">
        <v>8500</v>
      </c>
      <c r="B42" s="67">
        <v>-1.8402000000000001</v>
      </c>
      <c r="C42" s="67">
        <v>28.6876</v>
      </c>
      <c r="D42" s="66">
        <v>21.8033</v>
      </c>
    </row>
    <row r="43" spans="1:4">
      <c r="A43" s="69">
        <v>8750</v>
      </c>
      <c r="B43" s="67">
        <v>-2.3355000000000001</v>
      </c>
      <c r="C43" s="67">
        <v>27.796099999999999</v>
      </c>
      <c r="D43" s="66">
        <v>21.594899999999999</v>
      </c>
    </row>
    <row r="44" spans="1:4">
      <c r="A44" s="69">
        <v>9000</v>
      </c>
      <c r="B44" s="67">
        <v>-2.8308</v>
      </c>
      <c r="C44" s="67">
        <v>26.904599999999999</v>
      </c>
      <c r="D44" s="66">
        <v>21.388100000000001</v>
      </c>
    </row>
    <row r="45" spans="1:4">
      <c r="A45" s="69">
        <v>9250</v>
      </c>
      <c r="B45" s="67">
        <v>-3.3260999999999998</v>
      </c>
      <c r="C45" s="67">
        <v>26.013000000000002</v>
      </c>
      <c r="D45" s="66">
        <v>21.183</v>
      </c>
    </row>
    <row r="46" spans="1:4">
      <c r="A46" s="69">
        <v>9500</v>
      </c>
      <c r="B46" s="67">
        <v>-3.8214000000000001</v>
      </c>
      <c r="C46" s="67">
        <v>25.121500000000001</v>
      </c>
      <c r="D46" s="66">
        <v>20.979399999999998</v>
      </c>
    </row>
    <row r="47" spans="1:4">
      <c r="A47" s="69">
        <v>9750</v>
      </c>
      <c r="B47" s="67">
        <v>-4.3167</v>
      </c>
      <c r="C47" s="67">
        <v>24.229900000000001</v>
      </c>
      <c r="D47" s="66">
        <v>20.7774</v>
      </c>
    </row>
    <row r="48" spans="1:4">
      <c r="A48" s="69">
        <v>10000</v>
      </c>
      <c r="B48" s="67">
        <v>-4.8120000000000003</v>
      </c>
      <c r="C48" s="67">
        <v>23.3384</v>
      </c>
      <c r="D48" s="66">
        <v>20.577000000000002</v>
      </c>
    </row>
    <row r="49" spans="1:4">
      <c r="A49" s="69">
        <v>10250</v>
      </c>
      <c r="B49" s="67">
        <v>-5.3072999999999997</v>
      </c>
      <c r="C49" s="67">
        <v>22.446899999999999</v>
      </c>
      <c r="D49" s="66">
        <v>20.3781</v>
      </c>
    </row>
    <row r="50" spans="1:4">
      <c r="A50" s="69">
        <v>10500</v>
      </c>
      <c r="B50" s="67">
        <v>-5.8026</v>
      </c>
      <c r="C50" s="67">
        <v>21.555299999999999</v>
      </c>
      <c r="D50" s="66">
        <v>20.180900000000001</v>
      </c>
    </row>
    <row r="51" spans="1:4">
      <c r="A51" s="69">
        <v>10750</v>
      </c>
      <c r="B51" s="67">
        <v>-6.2979000000000003</v>
      </c>
      <c r="C51" s="67">
        <v>20.663799999999998</v>
      </c>
      <c r="D51" s="66">
        <v>19.985099999999999</v>
      </c>
    </row>
    <row r="52" spans="1:4">
      <c r="A52" s="69">
        <v>11000</v>
      </c>
      <c r="B52" s="67">
        <v>-6.7931999999999997</v>
      </c>
      <c r="C52" s="67">
        <v>19.772200000000002</v>
      </c>
      <c r="D52" s="66">
        <v>19.790900000000001</v>
      </c>
    </row>
    <row r="53" spans="1:4">
      <c r="A53" s="69">
        <v>11250</v>
      </c>
      <c r="B53" s="67">
        <v>-7.2885</v>
      </c>
      <c r="C53" s="67">
        <v>18.880700000000001</v>
      </c>
      <c r="D53" s="66">
        <v>19.598299999999998</v>
      </c>
    </row>
    <row r="54" spans="1:4">
      <c r="A54" s="69">
        <v>11500</v>
      </c>
      <c r="B54" s="67">
        <v>-7.7838000000000003</v>
      </c>
      <c r="C54" s="67">
        <v>17.9892</v>
      </c>
      <c r="D54" s="66">
        <v>19.4071</v>
      </c>
    </row>
    <row r="55" spans="1:4">
      <c r="A55" s="69">
        <v>11750</v>
      </c>
      <c r="B55" s="67">
        <v>-8.2790999999999997</v>
      </c>
      <c r="C55" s="67">
        <v>17.0976</v>
      </c>
      <c r="D55" s="66">
        <v>19.217500000000001</v>
      </c>
    </row>
    <row r="56" spans="1:4">
      <c r="A56" s="69">
        <v>12000</v>
      </c>
      <c r="B56" s="67">
        <v>-8.7744</v>
      </c>
      <c r="C56" s="67">
        <v>16.206099999999999</v>
      </c>
      <c r="D56" s="66">
        <v>19.029399999999999</v>
      </c>
    </row>
    <row r="57" spans="1:4">
      <c r="A57" s="69">
        <v>12250</v>
      </c>
      <c r="B57" s="67">
        <v>-9.2697000000000003</v>
      </c>
      <c r="C57" s="67">
        <v>15.314500000000001</v>
      </c>
      <c r="D57" s="66">
        <v>18.842700000000001</v>
      </c>
    </row>
    <row r="58" spans="1:4">
      <c r="A58" s="69">
        <v>12500</v>
      </c>
      <c r="B58" s="67">
        <v>-9.7650000000000006</v>
      </c>
      <c r="C58" s="67">
        <v>14.423</v>
      </c>
      <c r="D58" s="66">
        <v>18.657599999999999</v>
      </c>
    </row>
    <row r="59" spans="1:4">
      <c r="A59" s="69">
        <v>12750</v>
      </c>
      <c r="B59" s="67">
        <v>-10.260300000000001</v>
      </c>
      <c r="C59" s="67">
        <v>13.531499999999999</v>
      </c>
      <c r="D59" s="66">
        <v>18.4739</v>
      </c>
    </row>
    <row r="60" spans="1:4">
      <c r="A60" s="69">
        <v>13000</v>
      </c>
      <c r="B60" s="67">
        <v>-10.755599999999999</v>
      </c>
      <c r="C60" s="67">
        <v>12.639900000000001</v>
      </c>
      <c r="D60" s="66">
        <v>18.291699999999999</v>
      </c>
    </row>
    <row r="61" spans="1:4">
      <c r="A61" s="69">
        <v>13250</v>
      </c>
      <c r="B61" s="67">
        <v>-11.2509</v>
      </c>
      <c r="C61" s="67">
        <v>11.7484</v>
      </c>
      <c r="D61" s="66">
        <v>18.111000000000001</v>
      </c>
    </row>
    <row r="62" spans="1:4">
      <c r="A62" s="69">
        <v>13500</v>
      </c>
      <c r="B62" s="67">
        <v>-11.7462</v>
      </c>
      <c r="C62" s="67">
        <v>10.8568</v>
      </c>
      <c r="D62" s="66">
        <v>17.931699999999999</v>
      </c>
    </row>
    <row r="63" spans="1:4">
      <c r="A63" s="69">
        <v>13750</v>
      </c>
      <c r="B63" s="67">
        <v>-12.2415</v>
      </c>
      <c r="C63" s="67">
        <v>9.9652999999999992</v>
      </c>
      <c r="D63" s="66">
        <v>17.753799999999998</v>
      </c>
    </row>
    <row r="64" spans="1:4">
      <c r="A64" s="69">
        <v>14000</v>
      </c>
      <c r="B64" s="67">
        <v>-12.736800000000001</v>
      </c>
      <c r="C64" s="67">
        <v>9.0738000000000003</v>
      </c>
      <c r="D64" s="66">
        <v>17.577400000000001</v>
      </c>
    </row>
    <row r="65" spans="1:4">
      <c r="A65" s="69">
        <v>14250</v>
      </c>
      <c r="B65" s="67">
        <v>-13.232100000000001</v>
      </c>
      <c r="C65" s="67">
        <v>8.1821999999999999</v>
      </c>
      <c r="D65" s="66">
        <v>17.4024</v>
      </c>
    </row>
    <row r="66" spans="1:4">
      <c r="A66" s="69">
        <v>14500</v>
      </c>
      <c r="B66" s="67">
        <v>-13.727399999999999</v>
      </c>
      <c r="C66" s="67">
        <v>7.2907000000000002</v>
      </c>
      <c r="D66" s="66">
        <v>17.2288</v>
      </c>
    </row>
    <row r="67" spans="1:4">
      <c r="A67" s="69">
        <v>14750</v>
      </c>
      <c r="B67" s="67">
        <v>-14.2227</v>
      </c>
      <c r="C67" s="67">
        <v>6.3990999999999998</v>
      </c>
      <c r="D67" s="66">
        <v>17.0566</v>
      </c>
    </row>
    <row r="68" spans="1:4">
      <c r="A68" s="69">
        <v>15000</v>
      </c>
      <c r="B68" s="67">
        <v>-14.718</v>
      </c>
      <c r="C68" s="67">
        <v>5.5076000000000001</v>
      </c>
      <c r="D68" s="66">
        <v>16.8858</v>
      </c>
    </row>
  </sheetData>
  <sheetProtection sheet="1" objects="1" scenarios="1"/>
  <phoneticPr fontId="0" type="noConversion"/>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dimension ref="A1:C10"/>
  <sheetViews>
    <sheetView workbookViewId="0">
      <selection activeCell="A7" sqref="A7:XFD10"/>
    </sheetView>
  </sheetViews>
  <sheetFormatPr defaultRowHeight="12.55"/>
  <cols>
    <col min="3" max="3" width="80.77734375" customWidth="1"/>
  </cols>
  <sheetData>
    <row r="1" spans="1:3">
      <c r="A1" s="362" t="s">
        <v>270</v>
      </c>
      <c r="B1" s="363" t="s">
        <v>271</v>
      </c>
      <c r="C1" s="362"/>
    </row>
    <row r="2" spans="1:3">
      <c r="A2" s="362">
        <v>2.2000000000000002</v>
      </c>
      <c r="B2" s="363" t="s">
        <v>272</v>
      </c>
      <c r="C2" s="365" t="s">
        <v>273</v>
      </c>
    </row>
    <row r="3" spans="1:3">
      <c r="A3" s="362">
        <v>2.2000000000000002</v>
      </c>
      <c r="B3" s="362" t="s">
        <v>13</v>
      </c>
      <c r="C3" s="364" t="s">
        <v>274</v>
      </c>
    </row>
    <row r="4" spans="1:3">
      <c r="A4">
        <v>2.2999999999999998</v>
      </c>
      <c r="B4" s="362" t="s">
        <v>13</v>
      </c>
      <c r="C4" s="362" t="s">
        <v>275</v>
      </c>
    </row>
    <row r="5" spans="1:3">
      <c r="A5">
        <v>2.4</v>
      </c>
      <c r="B5" s="362" t="s">
        <v>280</v>
      </c>
      <c r="C5" s="362" t="s">
        <v>281</v>
      </c>
    </row>
    <row r="6" spans="1:3">
      <c r="A6">
        <v>2.5</v>
      </c>
      <c r="B6" s="367" t="s">
        <v>13</v>
      </c>
      <c r="C6" s="367" t="s">
        <v>282</v>
      </c>
    </row>
    <row r="7" spans="1:3">
      <c r="A7">
        <v>2.6</v>
      </c>
      <c r="B7" s="367" t="s">
        <v>286</v>
      </c>
      <c r="C7" s="367" t="s">
        <v>287</v>
      </c>
    </row>
    <row r="8" spans="1:3">
      <c r="A8">
        <v>2.6</v>
      </c>
      <c r="B8" s="367" t="s">
        <v>288</v>
      </c>
      <c r="C8" s="367" t="s">
        <v>290</v>
      </c>
    </row>
    <row r="9" spans="1:3">
      <c r="A9">
        <v>2.6</v>
      </c>
      <c r="B9" s="367" t="s">
        <v>289</v>
      </c>
      <c r="C9" s="367" t="s">
        <v>290</v>
      </c>
    </row>
    <row r="10" spans="1:3">
      <c r="A10">
        <v>2.6</v>
      </c>
      <c r="B10" s="367" t="s">
        <v>291</v>
      </c>
      <c r="C10" s="367" t="s">
        <v>292</v>
      </c>
    </row>
  </sheetData>
  <phoneticPr fontId="0"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dimension ref="A1:A175"/>
  <sheetViews>
    <sheetView workbookViewId="0">
      <selection activeCell="A20" sqref="A20"/>
    </sheetView>
  </sheetViews>
  <sheetFormatPr defaultRowHeight="12.55"/>
  <cols>
    <col min="1" max="1" width="97.6640625" style="459" customWidth="1"/>
  </cols>
  <sheetData>
    <row r="1" spans="1:1">
      <c r="A1" s="460" t="s">
        <v>296</v>
      </c>
    </row>
    <row r="3" spans="1:1">
      <c r="A3" s="460" t="s">
        <v>297</v>
      </c>
    </row>
    <row r="5" spans="1:1">
      <c r="A5" s="460" t="s">
        <v>298</v>
      </c>
    </row>
    <row r="7" spans="1:1" ht="37.6">
      <c r="A7" s="462" t="s">
        <v>299</v>
      </c>
    </row>
    <row r="9" spans="1:1" ht="37.6">
      <c r="A9" s="462" t="s">
        <v>300</v>
      </c>
    </row>
    <row r="11" spans="1:1">
      <c r="A11" s="460" t="s">
        <v>301</v>
      </c>
    </row>
    <row r="12" spans="1:1">
      <c r="A12" s="461" t="s">
        <v>302</v>
      </c>
    </row>
    <row r="14" spans="1:1">
      <c r="A14" s="460" t="s">
        <v>303</v>
      </c>
    </row>
    <row r="16" spans="1:1" ht="37.6">
      <c r="A16" s="462" t="s">
        <v>304</v>
      </c>
    </row>
    <row r="17" spans="1:1">
      <c r="A17" s="460" t="s">
        <v>305</v>
      </c>
    </row>
    <row r="19" spans="1:1">
      <c r="A19" s="460" t="s">
        <v>306</v>
      </c>
    </row>
    <row r="21" spans="1:1">
      <c r="A21" s="460" t="s">
        <v>307</v>
      </c>
    </row>
    <row r="23" spans="1:1">
      <c r="A23" s="460" t="s">
        <v>308</v>
      </c>
    </row>
    <row r="25" spans="1:1" ht="25.05">
      <c r="A25" s="460" t="s">
        <v>309</v>
      </c>
    </row>
    <row r="27" spans="1:1" ht="25.05">
      <c r="A27" s="460" t="s">
        <v>310</v>
      </c>
    </row>
    <row r="29" spans="1:1">
      <c r="A29" s="460" t="s">
        <v>311</v>
      </c>
    </row>
    <row r="31" spans="1:1">
      <c r="A31" s="460" t="s">
        <v>312</v>
      </c>
    </row>
    <row r="33" spans="1:1" ht="37.6">
      <c r="A33" s="462" t="s">
        <v>313</v>
      </c>
    </row>
    <row r="35" spans="1:1">
      <c r="A35" s="460" t="s">
        <v>314</v>
      </c>
    </row>
    <row r="37" spans="1:1">
      <c r="A37" s="460" t="s">
        <v>315</v>
      </c>
    </row>
    <row r="39" spans="1:1" ht="25.05">
      <c r="A39" s="461" t="s">
        <v>316</v>
      </c>
    </row>
    <row r="41" spans="1:1">
      <c r="A41" s="460" t="s">
        <v>317</v>
      </c>
    </row>
    <row r="43" spans="1:1" ht="37.6">
      <c r="A43" s="460" t="s">
        <v>318</v>
      </c>
    </row>
    <row r="45" spans="1:1" ht="37.6">
      <c r="A45" s="462" t="s">
        <v>319</v>
      </c>
    </row>
    <row r="47" spans="1:1" ht="25.05">
      <c r="A47" s="460" t="s">
        <v>320</v>
      </c>
    </row>
    <row r="48" spans="1:1" ht="25.05">
      <c r="A48" s="460" t="s">
        <v>321</v>
      </c>
    </row>
    <row r="50" spans="1:1" ht="37.6">
      <c r="A50" s="462" t="s">
        <v>322</v>
      </c>
    </row>
    <row r="52" spans="1:1">
      <c r="A52" s="460" t="s">
        <v>323</v>
      </c>
    </row>
    <row r="54" spans="1:1">
      <c r="A54" s="460" t="s">
        <v>324</v>
      </c>
    </row>
    <row r="56" spans="1:1" ht="37.6">
      <c r="A56" s="462" t="s">
        <v>325</v>
      </c>
    </row>
    <row r="58" spans="1:1">
      <c r="A58" s="460" t="s">
        <v>326</v>
      </c>
    </row>
    <row r="60" spans="1:1" ht="50.1">
      <c r="A60" s="462" t="s">
        <v>327</v>
      </c>
    </row>
    <row r="62" spans="1:1">
      <c r="A62" s="460" t="s">
        <v>328</v>
      </c>
    </row>
    <row r="64" spans="1:1" ht="50.1">
      <c r="A64" s="462" t="s">
        <v>329</v>
      </c>
    </row>
    <row r="66" spans="1:1">
      <c r="A66" s="460" t="s">
        <v>330</v>
      </c>
    </row>
    <row r="68" spans="1:1" ht="50.1">
      <c r="A68" s="462" t="s">
        <v>331</v>
      </c>
    </row>
    <row r="70" spans="1:1">
      <c r="A70" s="460" t="s">
        <v>332</v>
      </c>
    </row>
    <row r="72" spans="1:1" ht="25.05">
      <c r="A72" s="460" t="s">
        <v>333</v>
      </c>
    </row>
    <row r="74" spans="1:1">
      <c r="A74" s="460" t="s">
        <v>334</v>
      </c>
    </row>
    <row r="76" spans="1:1" ht="25.05">
      <c r="A76" s="460" t="s">
        <v>335</v>
      </c>
    </row>
    <row r="78" spans="1:1">
      <c r="A78" s="460" t="s">
        <v>336</v>
      </c>
    </row>
    <row r="80" spans="1:1" ht="25.05">
      <c r="A80" s="460" t="s">
        <v>337</v>
      </c>
    </row>
    <row r="82" spans="1:1">
      <c r="A82" s="460" t="s">
        <v>338</v>
      </c>
    </row>
    <row r="83" spans="1:1">
      <c r="A83" s="461" t="s">
        <v>339</v>
      </c>
    </row>
    <row r="84" spans="1:1">
      <c r="A84" s="460" t="s">
        <v>301</v>
      </c>
    </row>
    <row r="85" spans="1:1" ht="25.05">
      <c r="A85" s="460" t="s">
        <v>340</v>
      </c>
    </row>
    <row r="87" spans="1:1">
      <c r="A87" s="460" t="s">
        <v>341</v>
      </c>
    </row>
    <row r="89" spans="1:1">
      <c r="A89" s="460" t="s">
        <v>342</v>
      </c>
    </row>
    <row r="91" spans="1:1" ht="25.05">
      <c r="A91" s="460" t="s">
        <v>343</v>
      </c>
    </row>
    <row r="93" spans="1:1" ht="25.05">
      <c r="A93" s="460" t="s">
        <v>344</v>
      </c>
    </row>
    <row r="95" spans="1:1" ht="37.6">
      <c r="A95" s="462" t="s">
        <v>345</v>
      </c>
    </row>
    <row r="97" spans="1:1">
      <c r="A97" s="460" t="s">
        <v>346</v>
      </c>
    </row>
    <row r="99" spans="1:1" ht="37.6">
      <c r="A99" s="462" t="s">
        <v>347</v>
      </c>
    </row>
    <row r="101" spans="1:1" ht="25.05">
      <c r="A101" s="460" t="s">
        <v>348</v>
      </c>
    </row>
    <row r="103" spans="1:1">
      <c r="A103" s="460" t="s">
        <v>349</v>
      </c>
    </row>
    <row r="105" spans="1:1">
      <c r="A105" s="460" t="s">
        <v>350</v>
      </c>
    </row>
    <row r="107" spans="1:1">
      <c r="A107" s="460" t="s">
        <v>351</v>
      </c>
    </row>
    <row r="109" spans="1:1">
      <c r="A109" s="460" t="s">
        <v>352</v>
      </c>
    </row>
    <row r="111" spans="1:1">
      <c r="A111" s="460" t="s">
        <v>353</v>
      </c>
    </row>
    <row r="113" spans="1:1" ht="25.05">
      <c r="A113" s="460" t="s">
        <v>354</v>
      </c>
    </row>
    <row r="115" spans="1:1" ht="25.05">
      <c r="A115" s="460" t="s">
        <v>355</v>
      </c>
    </row>
    <row r="117" spans="1:1">
      <c r="A117" s="460" t="s">
        <v>356</v>
      </c>
    </row>
    <row r="119" spans="1:1">
      <c r="A119" s="460" t="s">
        <v>357</v>
      </c>
    </row>
    <row r="121" spans="1:1">
      <c r="A121" s="460" t="s">
        <v>358</v>
      </c>
    </row>
    <row r="123" spans="1:1" ht="37.6">
      <c r="A123" s="462" t="s">
        <v>359</v>
      </c>
    </row>
    <row r="125" spans="1:1" ht="37.6">
      <c r="A125" s="462" t="s">
        <v>360</v>
      </c>
    </row>
    <row r="127" spans="1:1" ht="25.05">
      <c r="A127" s="460" t="s">
        <v>361</v>
      </c>
    </row>
    <row r="129" spans="1:1" ht="25.05">
      <c r="A129" s="460" t="s">
        <v>362</v>
      </c>
    </row>
    <row r="131" spans="1:1" ht="25.05">
      <c r="A131" s="460" t="s">
        <v>363</v>
      </c>
    </row>
    <row r="133" spans="1:1" ht="25.05">
      <c r="A133" s="460" t="s">
        <v>364</v>
      </c>
    </row>
    <row r="135" spans="1:1">
      <c r="A135" s="460" t="s">
        <v>365</v>
      </c>
    </row>
    <row r="137" spans="1:1" ht="25.05">
      <c r="A137" s="460" t="s">
        <v>366</v>
      </c>
    </row>
    <row r="139" spans="1:1">
      <c r="A139" s="460" t="s">
        <v>367</v>
      </c>
    </row>
    <row r="141" spans="1:1" ht="25.05">
      <c r="A141" s="460" t="s">
        <v>368</v>
      </c>
    </row>
    <row r="143" spans="1:1">
      <c r="A143" s="460" t="s">
        <v>369</v>
      </c>
    </row>
    <row r="145" spans="1:1" ht="25.05">
      <c r="A145" s="460" t="s">
        <v>370</v>
      </c>
    </row>
    <row r="147" spans="1:1" ht="25.05">
      <c r="A147" s="460" t="s">
        <v>371</v>
      </c>
    </row>
    <row r="149" spans="1:1" ht="62.65">
      <c r="A149" s="462" t="s">
        <v>372</v>
      </c>
    </row>
    <row r="151" spans="1:1" ht="37.6">
      <c r="A151" s="462" t="s">
        <v>373</v>
      </c>
    </row>
    <row r="153" spans="1:1" ht="25.05">
      <c r="A153" s="460" t="s">
        <v>374</v>
      </c>
    </row>
    <row r="155" spans="1:1" ht="37.6">
      <c r="A155" s="462" t="s">
        <v>375</v>
      </c>
    </row>
    <row r="157" spans="1:1">
      <c r="A157" s="460" t="s">
        <v>376</v>
      </c>
    </row>
    <row r="159" spans="1:1" ht="37.6">
      <c r="A159" s="462" t="s">
        <v>377</v>
      </c>
    </row>
    <row r="161" spans="1:1" ht="25.05">
      <c r="A161" s="460" t="s">
        <v>378</v>
      </c>
    </row>
    <row r="163" spans="1:1" ht="25.05">
      <c r="A163" s="460" t="s">
        <v>379</v>
      </c>
    </row>
    <row r="165" spans="1:1">
      <c r="A165" s="460" t="s">
        <v>380</v>
      </c>
    </row>
    <row r="167" spans="1:1" ht="37.6">
      <c r="A167" s="462" t="s">
        <v>381</v>
      </c>
    </row>
    <row r="169" spans="1:1" ht="37.6">
      <c r="A169" s="460" t="s">
        <v>382</v>
      </c>
    </row>
    <row r="171" spans="1:1">
      <c r="A171" s="460" t="s">
        <v>383</v>
      </c>
    </row>
    <row r="173" spans="1:1">
      <c r="A173" s="460" t="s">
        <v>384</v>
      </c>
    </row>
    <row r="175" spans="1:1">
      <c r="A175" s="460" t="s">
        <v>385</v>
      </c>
    </row>
  </sheetData>
  <phoneticPr fontId="0" type="noConversion"/>
  <pageMargins left="0.75" right="0.75" top="1" bottom="1" header="0.5" footer="0.5"/>
  <pageSetup orientation="portrait" horizontalDpi="4294967293" verticalDpi="0" r:id="rId1"/>
  <headerFooter alignWithMargins="0"/>
</worksheet>
</file>

<file path=xl/worksheets/sheet13.xml><?xml version="1.0" encoding="utf-8"?>
<worksheet xmlns="http://schemas.openxmlformats.org/spreadsheetml/2006/main" xmlns:r="http://schemas.openxmlformats.org/officeDocument/2006/relationships">
  <dimension ref="A1"/>
  <sheetViews>
    <sheetView workbookViewId="0"/>
  </sheetViews>
  <sheetFormatPr defaultRowHeight="12.55"/>
  <sheetData/>
  <phoneticPr fontId="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dimension ref="A1"/>
  <sheetViews>
    <sheetView workbookViewId="0"/>
  </sheetViews>
  <sheetFormatPr defaultRowHeight="12.55"/>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X29"/>
  <sheetViews>
    <sheetView showGridLines="0" tabSelected="1" zoomScaleNormal="200" workbookViewId="0">
      <selection activeCell="L6" sqref="L6"/>
    </sheetView>
  </sheetViews>
  <sheetFormatPr defaultRowHeight="12.55"/>
  <cols>
    <col min="1" max="1" width="2.6640625" customWidth="1"/>
    <col min="2" max="2" width="7.6640625" customWidth="1"/>
    <col min="3" max="5" width="6.6640625" customWidth="1"/>
    <col min="6" max="6" width="9.6640625" customWidth="1"/>
    <col min="7" max="7" width="5.6640625" customWidth="1"/>
    <col min="8" max="8" width="4.6640625" customWidth="1"/>
    <col min="9" max="11" width="5.6640625" customWidth="1"/>
    <col min="12" max="12" width="4.6640625" customWidth="1"/>
    <col min="13" max="13" width="6.6640625" customWidth="1"/>
    <col min="14" max="18" width="4.6640625" customWidth="1"/>
    <col min="19" max="24" width="5.6640625" customWidth="1"/>
  </cols>
  <sheetData>
    <row r="1" spans="1:24" ht="15.05" customHeight="1" thickBot="1">
      <c r="A1" s="252"/>
      <c r="B1" s="25" t="s">
        <v>295</v>
      </c>
      <c r="C1" s="41"/>
      <c r="D1" s="41"/>
      <c r="E1" s="41"/>
      <c r="F1" s="25" t="s">
        <v>106</v>
      </c>
      <c r="G1" s="41"/>
      <c r="H1" s="41"/>
      <c r="I1" s="258"/>
      <c r="J1" s="24"/>
      <c r="K1" s="41"/>
      <c r="L1" s="41"/>
      <c r="M1" s="41"/>
      <c r="N1" s="41"/>
      <c r="O1" s="41"/>
      <c r="P1" s="41"/>
      <c r="Q1" s="41"/>
      <c r="R1" s="41"/>
      <c r="S1" s="41"/>
      <c r="T1" s="41"/>
      <c r="U1" s="41"/>
      <c r="V1" s="24" t="s">
        <v>294</v>
      </c>
      <c r="W1" s="25"/>
      <c r="X1" s="42"/>
    </row>
    <row r="2" spans="1:24" s="1" customFormat="1" ht="21.95" customHeight="1" thickTop="1" thickBot="1">
      <c r="A2" s="419" t="s">
        <v>173</v>
      </c>
      <c r="B2" s="420"/>
      <c r="C2" s="421" t="s">
        <v>293</v>
      </c>
      <c r="D2" s="421"/>
      <c r="E2" s="422"/>
      <c r="F2" s="259" t="s">
        <v>191</v>
      </c>
      <c r="G2" s="425" t="s">
        <v>176</v>
      </c>
      <c r="H2" s="426"/>
      <c r="I2" s="425" t="s">
        <v>75</v>
      </c>
      <c r="J2" s="426"/>
      <c r="K2" s="425" t="s">
        <v>177</v>
      </c>
      <c r="L2" s="449"/>
      <c r="M2" s="448"/>
      <c r="N2" s="448"/>
      <c r="O2" s="448"/>
      <c r="P2" s="448"/>
      <c r="Q2" s="448"/>
      <c r="R2" s="448"/>
      <c r="S2" s="448"/>
      <c r="T2" s="448"/>
      <c r="U2" s="457" t="s">
        <v>178</v>
      </c>
      <c r="V2" s="458"/>
      <c r="W2" s="446" t="s">
        <v>76</v>
      </c>
      <c r="X2" s="447"/>
    </row>
    <row r="3" spans="1:24" s="1" customFormat="1" ht="21.95" customHeight="1" thickTop="1" thickBot="1">
      <c r="A3" s="423" t="s">
        <v>39</v>
      </c>
      <c r="B3" s="424"/>
      <c r="C3" s="226">
        <f>'W&amp;B 161'!B11+(Leg!R7*6)</f>
        <v>2002.9</v>
      </c>
      <c r="D3" s="253" t="s">
        <v>131</v>
      </c>
      <c r="E3" s="254">
        <f>(C3/'W&amp;B 161'!C25)*100</f>
        <v>86.146236559139794</v>
      </c>
      <c r="F3" s="260" t="s">
        <v>125</v>
      </c>
      <c r="G3" s="436"/>
      <c r="H3" s="437"/>
      <c r="I3" s="434"/>
      <c r="J3" s="435"/>
      <c r="K3" s="438">
        <v>0.8</v>
      </c>
      <c r="L3" s="439"/>
      <c r="M3" s="418"/>
      <c r="N3" s="418"/>
      <c r="O3" s="418"/>
      <c r="P3" s="418"/>
      <c r="Q3" s="418"/>
      <c r="R3" s="418"/>
      <c r="S3" s="418"/>
      <c r="T3" s="418"/>
      <c r="U3" s="440"/>
      <c r="V3" s="441"/>
      <c r="W3" s="442"/>
      <c r="X3" s="443"/>
    </row>
    <row r="4" spans="1:24" s="1" customFormat="1" ht="21.95" customHeight="1" thickTop="1" thickBot="1">
      <c r="A4" s="430" t="s">
        <v>43</v>
      </c>
      <c r="B4" s="431"/>
      <c r="C4" s="255">
        <f>((R7*6*'W&amp;B 161'!C12)+'W&amp;B 161'!D11)/((Leg!R7*6)+'W&amp;B 161'!B11)</f>
        <v>89.242099955065157</v>
      </c>
      <c r="D4" s="225" t="s">
        <v>107</v>
      </c>
      <c r="E4" s="226">
        <f>C3*Va!B12+Va!B13</f>
        <v>101.66964735516373</v>
      </c>
      <c r="F4" s="261" t="s">
        <v>192</v>
      </c>
      <c r="G4" s="450">
        <f>LOOKUP(F12,'Climb, Eng.Perf'!B19:B43,'Climb, Eng.Perf'!F19:F43)-LOOKUP(S18,'Climb, Eng.Perf'!B19:B43,'Climb, Eng.Perf'!F19:F43)</f>
        <v>0</v>
      </c>
      <c r="H4" s="451"/>
      <c r="I4" s="450">
        <f>LOOKUP(F12,'Climb, Eng.Perf'!B19:B43,'Climb, Eng.Perf'!H19:H43)-LOOKUP(S18,'Climb, Eng.Perf'!B19:B43,'Climb, Eng.Perf'!H19:H43)</f>
        <v>0</v>
      </c>
      <c r="J4" s="451"/>
      <c r="K4" s="452">
        <f>LOOKUP(F12,'Climb, Eng.Perf'!B19:B43,'Climb, Eng.Perf'!G19:G43)-LOOKUP(S18,'Climb, Eng.Perf'!B19:B43,'Climb, Eng.Perf'!G19:G43)</f>
        <v>0</v>
      </c>
      <c r="L4" s="453"/>
      <c r="M4" s="418"/>
      <c r="N4" s="418"/>
      <c r="O4" s="418"/>
      <c r="P4" s="418"/>
      <c r="Q4" s="418"/>
      <c r="R4" s="418"/>
      <c r="S4" s="418"/>
      <c r="T4" s="418"/>
      <c r="U4" s="440"/>
      <c r="V4" s="441"/>
      <c r="W4" s="442"/>
      <c r="X4" s="443"/>
    </row>
    <row r="5" spans="1:24" s="1" customFormat="1" ht="21.95" customHeight="1" thickTop="1" thickBot="1">
      <c r="A5" s="423" t="s">
        <v>134</v>
      </c>
      <c r="B5" s="424"/>
      <c r="C5" s="429"/>
      <c r="D5" s="256" t="s">
        <v>118</v>
      </c>
      <c r="E5" s="227">
        <f>CEILING(C3*Vs!B12+Vs!B13,1)</f>
        <v>41</v>
      </c>
      <c r="F5" s="262" t="s">
        <v>193</v>
      </c>
      <c r="G5" s="432" t="str">
        <f>IF(AND(N12&lt;&gt;0,O12&lt;&gt;0,N12&lt;&gt;"",O12&lt;&gt;""),(I5/O12)*60,"")</f>
        <v/>
      </c>
      <c r="H5" s="433"/>
      <c r="I5" s="432" t="str">
        <f>IF(AND(N12&lt;&gt;"",I4&lt;&gt;""),N12-I4,"")</f>
        <v/>
      </c>
      <c r="J5" s="433"/>
      <c r="K5" s="427" t="str">
        <f>IF(AND(G5&lt;&gt;"",R9&lt;&gt;""),$R$9*(G5/60),"")</f>
        <v/>
      </c>
      <c r="L5" s="428"/>
      <c r="M5" s="418"/>
      <c r="N5" s="418"/>
      <c r="O5" s="418"/>
      <c r="P5" s="418"/>
      <c r="Q5" s="418"/>
      <c r="R5" s="418"/>
      <c r="S5" s="418"/>
      <c r="T5" s="418"/>
      <c r="U5" s="440"/>
      <c r="V5" s="441"/>
      <c r="W5" s="442"/>
      <c r="X5" s="443"/>
    </row>
    <row r="6" spans="1:24" s="1" customFormat="1" ht="21.95" customHeight="1" thickTop="1" thickBot="1">
      <c r="A6" s="405" t="s">
        <v>134</v>
      </c>
      <c r="B6" s="406"/>
      <c r="C6" s="407"/>
      <c r="D6" s="257" t="s">
        <v>123</v>
      </c>
      <c r="E6" s="228">
        <f>CEILING(C3*Vs!B40+Vs!B41,1)</f>
        <v>47</v>
      </c>
      <c r="F6" s="224"/>
      <c r="G6" s="219" t="s">
        <v>124</v>
      </c>
      <c r="H6" s="220">
        <v>50</v>
      </c>
      <c r="I6" s="219" t="s">
        <v>41</v>
      </c>
      <c r="J6" s="221">
        <v>63</v>
      </c>
      <c r="K6" s="222" t="s">
        <v>42</v>
      </c>
      <c r="L6" s="223">
        <v>79</v>
      </c>
      <c r="M6" s="418"/>
      <c r="N6" s="456"/>
      <c r="O6" s="456"/>
      <c r="P6" s="456"/>
      <c r="Q6" s="456"/>
      <c r="R6" s="456"/>
      <c r="S6" s="456"/>
      <c r="T6" s="456"/>
      <c r="U6" s="416"/>
      <c r="V6" s="417"/>
      <c r="W6" s="454"/>
      <c r="X6" s="455"/>
    </row>
    <row r="7" spans="1:24" s="1" customFormat="1" ht="21.95" customHeight="1" thickTop="1" thickBot="1">
      <c r="A7" s="409" t="s">
        <v>135</v>
      </c>
      <c r="B7" s="410"/>
      <c r="C7" s="411"/>
      <c r="D7" s="408"/>
      <c r="E7" s="408"/>
      <c r="F7" s="408"/>
      <c r="G7" s="408"/>
      <c r="H7" s="408"/>
      <c r="I7" s="408"/>
      <c r="J7" s="408"/>
      <c r="K7" s="408"/>
      <c r="L7" s="408"/>
      <c r="M7" s="408"/>
      <c r="N7" s="289"/>
      <c r="O7" s="290"/>
      <c r="P7" s="314" t="s">
        <v>40</v>
      </c>
      <c r="Q7" s="315"/>
      <c r="R7" s="316">
        <v>48</v>
      </c>
      <c r="S7" s="338"/>
      <c r="T7" s="339" t="s">
        <v>20</v>
      </c>
      <c r="U7" s="340"/>
      <c r="V7" s="340"/>
      <c r="W7" s="340"/>
      <c r="X7" s="341"/>
    </row>
    <row r="8" spans="1:24" ht="21" customHeight="1" thickTop="1">
      <c r="A8" s="4"/>
      <c r="B8" s="1"/>
      <c r="C8" s="1"/>
      <c r="D8" s="269" t="s">
        <v>0</v>
      </c>
      <c r="E8" s="270" t="s">
        <v>0</v>
      </c>
      <c r="F8" s="275"/>
      <c r="G8" s="276" t="s">
        <v>34</v>
      </c>
      <c r="H8" s="277"/>
      <c r="I8" s="278" t="s">
        <v>6</v>
      </c>
      <c r="J8" s="291"/>
      <c r="K8" s="292"/>
      <c r="L8" s="292"/>
      <c r="M8" s="293"/>
      <c r="N8" s="294" t="s">
        <v>9</v>
      </c>
      <c r="O8" s="295" t="s">
        <v>10</v>
      </c>
      <c r="P8" s="317" t="s">
        <v>36</v>
      </c>
      <c r="Q8" s="11"/>
      <c r="R8" s="318" t="s">
        <v>18</v>
      </c>
      <c r="S8" s="342" t="s">
        <v>31</v>
      </c>
      <c r="T8" s="125"/>
      <c r="U8" s="126"/>
      <c r="V8" s="126"/>
      <c r="W8" s="127" t="s">
        <v>32</v>
      </c>
      <c r="X8" s="343"/>
    </row>
    <row r="9" spans="1:24" ht="21" customHeight="1">
      <c r="A9" s="414" t="s">
        <v>174</v>
      </c>
      <c r="B9" s="415"/>
      <c r="C9" s="415"/>
      <c r="D9" s="271" t="s">
        <v>1</v>
      </c>
      <c r="E9" s="272" t="s">
        <v>1</v>
      </c>
      <c r="F9" s="279" t="s">
        <v>3</v>
      </c>
      <c r="G9" s="8" t="s">
        <v>4</v>
      </c>
      <c r="H9" s="8" t="s">
        <v>5</v>
      </c>
      <c r="I9" s="280">
        <v>105</v>
      </c>
      <c r="J9" s="296"/>
      <c r="K9" s="3"/>
      <c r="L9" s="3"/>
      <c r="M9" s="9" t="s">
        <v>8</v>
      </c>
      <c r="N9" s="10" t="s">
        <v>13</v>
      </c>
      <c r="O9" s="297" t="s">
        <v>11</v>
      </c>
      <c r="P9" s="319"/>
      <c r="Q9" s="22"/>
      <c r="R9" s="320">
        <v>9</v>
      </c>
      <c r="S9" s="344"/>
      <c r="T9" s="120"/>
      <c r="U9" s="128" t="s">
        <v>30</v>
      </c>
      <c r="V9" s="129"/>
      <c r="W9" s="123"/>
      <c r="X9" s="345"/>
    </row>
    <row r="10" spans="1:24" ht="21" customHeight="1" thickBot="1">
      <c r="A10" s="412" t="s">
        <v>175</v>
      </c>
      <c r="B10" s="413"/>
      <c r="C10" s="413"/>
      <c r="D10" s="273" t="s">
        <v>2</v>
      </c>
      <c r="E10" s="274" t="s">
        <v>2</v>
      </c>
      <c r="F10" s="281"/>
      <c r="G10" s="6"/>
      <c r="H10" s="6"/>
      <c r="I10" s="282"/>
      <c r="J10" s="298"/>
      <c r="K10" s="2"/>
      <c r="L10" s="2"/>
      <c r="M10" s="4"/>
      <c r="N10" s="251" t="s">
        <v>37</v>
      </c>
      <c r="O10" s="299"/>
      <c r="P10" s="321" t="s">
        <v>14</v>
      </c>
      <c r="Q10" s="7" t="s">
        <v>16</v>
      </c>
      <c r="R10" s="272" t="s">
        <v>19</v>
      </c>
      <c r="S10" s="344"/>
      <c r="T10" s="120"/>
      <c r="U10" s="128" t="s">
        <v>29</v>
      </c>
      <c r="V10" s="129"/>
      <c r="W10" s="124"/>
      <c r="X10" s="346"/>
    </row>
    <row r="11" spans="1:24" ht="21" customHeight="1" thickTop="1" thickBot="1">
      <c r="A11" s="399" t="str">
        <f>IF(B11&lt;&gt;"", 0, "")</f>
        <v/>
      </c>
      <c r="B11" s="385"/>
      <c r="C11" s="386"/>
      <c r="D11" s="263"/>
      <c r="E11" s="264"/>
      <c r="F11" s="283"/>
      <c r="G11" s="284" t="s">
        <v>35</v>
      </c>
      <c r="H11" s="285"/>
      <c r="I11" s="286" t="s">
        <v>7</v>
      </c>
      <c r="J11" s="300"/>
      <c r="K11" s="301"/>
      <c r="L11" s="301"/>
      <c r="M11" s="302"/>
      <c r="N11" s="303"/>
      <c r="O11" s="304" t="s">
        <v>12</v>
      </c>
      <c r="P11" s="322" t="s">
        <v>15</v>
      </c>
      <c r="Q11" s="323" t="s">
        <v>17</v>
      </c>
      <c r="R11" s="274" t="s">
        <v>37</v>
      </c>
      <c r="S11" s="344"/>
      <c r="T11" s="120"/>
      <c r="U11" s="128" t="s">
        <v>28</v>
      </c>
      <c r="V11" s="129"/>
      <c r="W11" s="124"/>
      <c r="X11" s="346"/>
    </row>
    <row r="12" spans="1:24" ht="21" customHeight="1" thickTop="1" thickBot="1">
      <c r="A12" s="400"/>
      <c r="B12" s="387"/>
      <c r="C12" s="388"/>
      <c r="D12" s="265"/>
      <c r="E12" s="266"/>
      <c r="F12" s="397"/>
      <c r="G12" s="287">
        <v>0</v>
      </c>
      <c r="H12" s="288">
        <v>0</v>
      </c>
      <c r="I12" s="391">
        <v>105</v>
      </c>
      <c r="J12" s="305"/>
      <c r="K12" s="306" t="str">
        <f>IF(AND(J12&lt;&gt;0, J13&lt;&gt;""),MOD(J12+J13,360),"")</f>
        <v/>
      </c>
      <c r="L12" s="306" t="str">
        <f>IF(AND(K12&lt;&gt;0, K12&lt;&gt;""),MOD(K12+K13,360),"")</f>
        <v/>
      </c>
      <c r="M12" s="393" t="str">
        <f>IF(AND(L12&lt;&gt;0, L12&lt;&gt;""),MOD(L12+L13,360),"")</f>
        <v/>
      </c>
      <c r="N12" s="307"/>
      <c r="O12" s="308" t="str">
        <f>IF(AND(J12&lt;&gt;"",J13&lt;&gt;""),H12*COS(RADIANS(J12-(180+G12)))+I12*COS(RADIANS(J13)),"")</f>
        <v/>
      </c>
      <c r="P12" s="324" t="str">
        <f>IF(AND(G4&lt;&gt;"",G5&lt;&gt;""),G4+G5,"")</f>
        <v/>
      </c>
      <c r="Q12" s="325"/>
      <c r="R12" s="326" t="str">
        <f>IF(AND(K3&lt;&gt;"",K4&lt;&gt;"",K5&lt;&gt;""),K3+K4+K5,"")</f>
        <v/>
      </c>
      <c r="S12" s="344"/>
      <c r="T12" s="120"/>
      <c r="U12" s="128" t="s">
        <v>27</v>
      </c>
      <c r="V12" s="129"/>
      <c r="W12" s="124"/>
      <c r="X12" s="346"/>
    </row>
    <row r="13" spans="1:24" ht="21" customHeight="1" thickTop="1" thickBot="1">
      <c r="A13" s="401" t="str">
        <f>IF(AND(A11&lt;&gt;"",B13&lt;&gt;""), A11+1, "")</f>
        <v/>
      </c>
      <c r="B13" s="385"/>
      <c r="C13" s="386"/>
      <c r="D13" s="263"/>
      <c r="E13" s="267"/>
      <c r="F13" s="398"/>
      <c r="G13" s="395"/>
      <c r="H13" s="396"/>
      <c r="I13" s="392"/>
      <c r="J13" s="309" t="str">
        <f>IF(AND(J12&lt;&gt;0,I12&lt;&gt;0,H12&lt;&gt;"",G12&lt;&gt;""),DEGREES(ASIN((H12/I12)*SIN(RADIANS(J12-(180+G12))))),"")</f>
        <v/>
      </c>
      <c r="K13" s="310"/>
      <c r="L13" s="310"/>
      <c r="M13" s="394"/>
      <c r="N13" s="311" t="str">
        <f>IF(AND(N11&lt;&gt;0,N12&lt;&gt;0,N12&lt;&gt;"",N11&lt;&gt;""),N11-N12,"")</f>
        <v/>
      </c>
      <c r="O13" s="312" t="str">
        <f>IF(AND(P13&gt;0,P13&lt;&gt;"",N12&lt;&gt;"",O12&lt;&gt;""),N12/(P13/60),"")</f>
        <v/>
      </c>
      <c r="P13" s="327"/>
      <c r="Q13" s="328"/>
      <c r="R13" s="329" t="str">
        <f>IF(AND(R$7&lt;&gt;"",R12&lt;&gt;""),R$7-R12,"")</f>
        <v/>
      </c>
      <c r="S13" s="347"/>
      <c r="T13" s="121"/>
      <c r="U13" s="128" t="s">
        <v>127</v>
      </c>
      <c r="V13" s="129"/>
      <c r="W13" s="123"/>
      <c r="X13" s="345"/>
    </row>
    <row r="14" spans="1:24" ht="21" customHeight="1" thickTop="1" thickBot="1">
      <c r="A14" s="402"/>
      <c r="B14" s="387"/>
      <c r="C14" s="388"/>
      <c r="D14" s="265"/>
      <c r="E14" s="266"/>
      <c r="F14" s="397"/>
      <c r="G14" s="287">
        <v>0</v>
      </c>
      <c r="H14" s="288">
        <v>0</v>
      </c>
      <c r="I14" s="391">
        <f>I9</f>
        <v>105</v>
      </c>
      <c r="J14" s="305"/>
      <c r="K14" s="306" t="str">
        <f>IF(AND(J14&lt;&gt;0, J15&lt;&gt;""),MOD(J14+J15,360),"")</f>
        <v/>
      </c>
      <c r="L14" s="306" t="str">
        <f>IF(AND(K14&lt;&gt;0, K14&lt;&gt;""),MOD(K14+K15,360),"")</f>
        <v/>
      </c>
      <c r="M14" s="393" t="str">
        <f>IF(AND(L14&lt;&gt;0, L14&lt;&gt;""),MOD(L14+L15,360),"")</f>
        <v/>
      </c>
      <c r="N14" s="307"/>
      <c r="O14" s="308" t="str">
        <f>IF(AND(J14&lt;&gt;"",J15&lt;&gt;""),H14*COS(RADIANS(J14-(180+G14)))+I14*COS(RADIANS(J15)),"")</f>
        <v/>
      </c>
      <c r="P14" s="324" t="str">
        <f>IF(AND(N14&lt;&gt;0,O14&lt;&gt;0,N14&lt;&gt;"",O14&lt;&gt;""),(N14/O14)*60,"")</f>
        <v/>
      </c>
      <c r="Q14" s="325"/>
      <c r="R14" s="326" t="str">
        <f>IF(AND(P14&lt;&gt;"",R9&lt;&gt;""),(P14/60)*$R$9,"")</f>
        <v/>
      </c>
      <c r="S14" s="347"/>
      <c r="T14" s="121"/>
      <c r="U14" s="130" t="s">
        <v>143</v>
      </c>
      <c r="V14" s="131"/>
      <c r="W14" s="123"/>
      <c r="X14" s="345"/>
    </row>
    <row r="15" spans="1:24" ht="21" customHeight="1" thickTop="1" thickBot="1">
      <c r="A15" s="403" t="str">
        <f>IF(AND(A13&lt;&gt;"",B15&lt;&gt;""), A13+1, "")</f>
        <v/>
      </c>
      <c r="B15" s="385"/>
      <c r="C15" s="386"/>
      <c r="D15" s="263"/>
      <c r="E15" s="267"/>
      <c r="F15" s="398"/>
      <c r="G15" s="395"/>
      <c r="H15" s="396"/>
      <c r="I15" s="392"/>
      <c r="J15" s="309" t="str">
        <f>IF(AND(J14&lt;&gt;0,I14&lt;&gt;0,H14&lt;&gt;"",G14&lt;&gt;""),DEGREES(ASIN((H14/I14)*SIN(RADIANS(J14-(180+G14))))),"")</f>
        <v/>
      </c>
      <c r="K15" s="310"/>
      <c r="L15" s="310"/>
      <c r="M15" s="394"/>
      <c r="N15" s="311" t="str">
        <f>IF(AND(N13&lt;&gt;0,N14&lt;&gt;0,N14&lt;&gt;"",N13&lt;&gt;""),N13-N14,"")</f>
        <v/>
      </c>
      <c r="O15" s="312" t="str">
        <f>IF(AND(P15&gt;0,P15&lt;&gt;"",N14&lt;&gt;"",O14&lt;&gt;""),N14/(P15/60),"")</f>
        <v/>
      </c>
      <c r="P15" s="327"/>
      <c r="Q15" s="328"/>
      <c r="R15" s="329" t="str">
        <f>IF(AND(R14&lt;&gt;"",R13&lt;&gt;""),R13-R14,"")</f>
        <v/>
      </c>
      <c r="S15" s="347"/>
      <c r="T15" s="121"/>
      <c r="U15" s="128" t="s">
        <v>128</v>
      </c>
      <c r="V15" s="132"/>
      <c r="W15" s="123"/>
      <c r="X15" s="345"/>
    </row>
    <row r="16" spans="1:24" ht="21" customHeight="1" thickTop="1" thickBot="1">
      <c r="A16" s="404"/>
      <c r="B16" s="387"/>
      <c r="C16" s="388"/>
      <c r="D16" s="265"/>
      <c r="E16" s="266"/>
      <c r="F16" s="397"/>
      <c r="G16" s="287">
        <v>0</v>
      </c>
      <c r="H16" s="288">
        <v>0</v>
      </c>
      <c r="I16" s="391">
        <f>I9</f>
        <v>105</v>
      </c>
      <c r="J16" s="305"/>
      <c r="K16" s="306" t="str">
        <f>IF(AND(J16&lt;&gt;0, J17&lt;&gt;""),MOD(J16+J17,360),"")</f>
        <v/>
      </c>
      <c r="L16" s="306" t="str">
        <f>IF(AND(K16&lt;&gt;0, K16&lt;&gt;""),MOD(K16+K17,360),"")</f>
        <v/>
      </c>
      <c r="M16" s="393" t="str">
        <f>IF(AND(L16&lt;&gt;0, L16&lt;&gt;""),MOD(L16+L17,360),"")</f>
        <v/>
      </c>
      <c r="N16" s="307"/>
      <c r="O16" s="308" t="str">
        <f>IF(AND(J16&lt;&gt;"",J17&lt;&gt;""),H16*COS(RADIANS(J16-(180+G16)))+I16*COS(RADIANS(J17)),"")</f>
        <v/>
      </c>
      <c r="P16" s="324" t="str">
        <f>IF(AND(N16&lt;&gt;0,O16&lt;&gt;0,N16&lt;&gt;"",O16&lt;&gt;""),(N16/O16)*60,"")</f>
        <v/>
      </c>
      <c r="Q16" s="325"/>
      <c r="R16" s="326" t="str">
        <f>IF(AND(P16&lt;&gt;""),(P16/60)*$R$9,"")</f>
        <v/>
      </c>
      <c r="S16" s="347"/>
      <c r="T16" s="121"/>
      <c r="U16" s="128" t="s">
        <v>128</v>
      </c>
      <c r="V16" s="348"/>
      <c r="W16" s="123"/>
      <c r="X16" s="345"/>
    </row>
    <row r="17" spans="1:24" ht="21" customHeight="1" thickTop="1" thickBot="1">
      <c r="A17" s="403" t="str">
        <f>IF(AND(A15&lt;&gt;"",B17&lt;&gt;""), A15+1, "")</f>
        <v/>
      </c>
      <c r="B17" s="385"/>
      <c r="C17" s="386"/>
      <c r="D17" s="263"/>
      <c r="E17" s="267"/>
      <c r="F17" s="398"/>
      <c r="G17" s="395"/>
      <c r="H17" s="396"/>
      <c r="I17" s="392"/>
      <c r="J17" s="309" t="str">
        <f>IF(AND(J16&lt;&gt;0,I16&lt;&gt;0,H16&lt;&gt;"",G16&lt;&gt;""),DEGREES(ASIN((H16/I16)*SIN(RADIANS(J16-(180+G16))))),"")</f>
        <v/>
      </c>
      <c r="K17" s="310"/>
      <c r="L17" s="310"/>
      <c r="M17" s="394"/>
      <c r="N17" s="311" t="str">
        <f>IF(AND(N15&lt;&gt;0,N16&lt;&gt;0,N16&lt;&gt;"",N15&lt;&gt;""),N15-N16,"")</f>
        <v/>
      </c>
      <c r="O17" s="312" t="str">
        <f>IF(AND(P17&gt;0,P17&lt;&gt;"",N16&lt;&gt;"",O16&lt;&gt;""),N16/(P17/60),"")</f>
        <v/>
      </c>
      <c r="P17" s="332"/>
      <c r="Q17" s="333"/>
      <c r="R17" s="334" t="str">
        <f>IF(AND(R16&lt;&gt;"",R15&lt;&gt;""),R15-R16,"")</f>
        <v/>
      </c>
      <c r="S17" s="349"/>
      <c r="T17" s="122"/>
      <c r="U17" s="128" t="s">
        <v>128</v>
      </c>
      <c r="V17" s="132"/>
      <c r="W17" s="123"/>
      <c r="X17" s="345"/>
    </row>
    <row r="18" spans="1:24" ht="21" customHeight="1" thickTop="1" thickBot="1">
      <c r="A18" s="404"/>
      <c r="B18" s="387"/>
      <c r="C18" s="388"/>
      <c r="D18" s="265"/>
      <c r="E18" s="266"/>
      <c r="F18" s="397"/>
      <c r="G18" s="287">
        <v>0</v>
      </c>
      <c r="H18" s="288">
        <v>0</v>
      </c>
      <c r="I18" s="391">
        <f>I9</f>
        <v>105</v>
      </c>
      <c r="J18" s="305"/>
      <c r="K18" s="306" t="str">
        <f>IF(AND(J18&lt;&gt;0, J19&lt;&gt;""),MOD(J18+J19,360),"")</f>
        <v/>
      </c>
      <c r="L18" s="306" t="str">
        <f>IF(AND(K18&lt;&gt;0, K18&lt;&gt;""),MOD(K18+K19,360),"")</f>
        <v/>
      </c>
      <c r="M18" s="393" t="str">
        <f>IF(AND(L18&lt;&gt;0, L18&lt;&gt;""),MOD(L18+L19,360),"")</f>
        <v/>
      </c>
      <c r="N18" s="307"/>
      <c r="O18" s="330" t="str">
        <f>IF(AND(J18&lt;&gt;"",J19&lt;&gt;""),H18*COS(RADIANS(J18-(180+G18)))+I18*COS(RADIANS(J19)),"")</f>
        <v/>
      </c>
      <c r="P18" s="324" t="str">
        <f>IF(AND(N18&lt;&gt;0,O18&lt;&gt;0,N18&lt;&gt;"",O18&lt;&gt;""),(N18/O18)*60,"")</f>
        <v/>
      </c>
      <c r="Q18" s="325"/>
      <c r="R18" s="326" t="str">
        <f>IF(AND(P18&lt;&gt;""),(P18/60)*$R$9,"")</f>
        <v/>
      </c>
      <c r="S18" s="344"/>
      <c r="T18" s="120"/>
      <c r="U18" s="348" t="s">
        <v>73</v>
      </c>
      <c r="V18" s="133"/>
      <c r="W18" s="124"/>
      <c r="X18" s="346"/>
    </row>
    <row r="19" spans="1:24" ht="21" customHeight="1" thickTop="1" thickBot="1">
      <c r="A19" s="389" t="str">
        <f>IF(AND(A17&lt;&gt;"",B19&lt;&gt;""), A17+1, "")</f>
        <v/>
      </c>
      <c r="B19" s="385"/>
      <c r="C19" s="386"/>
      <c r="D19" s="263"/>
      <c r="E19" s="267"/>
      <c r="F19" s="398"/>
      <c r="G19" s="395"/>
      <c r="H19" s="396"/>
      <c r="I19" s="392"/>
      <c r="J19" s="309" t="str">
        <f>IF(AND(J18&lt;&gt;0,I18&lt;&gt;0,H18&lt;&gt;"",G18&lt;&gt;""),DEGREES(ASIN((H18/I18)*SIN(RADIANS(J18-(180+G18))))),"")</f>
        <v/>
      </c>
      <c r="K19" s="310"/>
      <c r="L19" s="310"/>
      <c r="M19" s="394"/>
      <c r="N19" s="311" t="str">
        <f>IF(AND(N17&lt;&gt;0,N18&lt;&gt;0,N18&lt;&gt;"",N17&lt;&gt;""),N17-N18,"")</f>
        <v/>
      </c>
      <c r="O19" s="331" t="str">
        <f>IF(AND(P19&gt;0,P19&lt;&gt;"",N18&lt;&gt;"",O18&lt;&gt;""),N18/(P19/60),"")</f>
        <v/>
      </c>
      <c r="P19" s="327"/>
      <c r="Q19" s="328"/>
      <c r="R19" s="329" t="str">
        <f>IF(AND(R18&lt;&gt;"",R17&lt;&gt;""),R17-R18,"")</f>
        <v/>
      </c>
      <c r="S19" s="344"/>
      <c r="T19" s="120"/>
      <c r="U19" s="128" t="s">
        <v>74</v>
      </c>
      <c r="V19" s="132"/>
      <c r="W19" s="124"/>
      <c r="X19" s="346"/>
    </row>
    <row r="20" spans="1:24" ht="21" customHeight="1" thickTop="1" thickBot="1">
      <c r="A20" s="390"/>
      <c r="B20" s="387"/>
      <c r="C20" s="388"/>
      <c r="D20" s="265"/>
      <c r="E20" s="266"/>
      <c r="F20" s="397"/>
      <c r="G20" s="287">
        <v>0</v>
      </c>
      <c r="H20" s="288">
        <v>0</v>
      </c>
      <c r="I20" s="391">
        <f>I9</f>
        <v>105</v>
      </c>
      <c r="J20" s="305"/>
      <c r="K20" s="306" t="str">
        <f>IF(AND(J20&lt;&gt;0, J21&lt;&gt;""),MOD(J20+J21,360),"")</f>
        <v/>
      </c>
      <c r="L20" s="306" t="str">
        <f>IF(AND(K20&lt;&gt;0, K20&lt;&gt;""),MOD(K20+K21,360),"")</f>
        <v/>
      </c>
      <c r="M20" s="393" t="str">
        <f>IF(AND(L20&lt;&gt;0, L20&lt;&gt;""),MOD(L20+L21,360),"")</f>
        <v/>
      </c>
      <c r="N20" s="307"/>
      <c r="O20" s="308" t="str">
        <f>IF(AND(J20&lt;&gt;"",J21&lt;&gt;""),H20*COS(RADIANS(J20-(180+G20)))+I20*COS(RADIANS(J21)),"")</f>
        <v/>
      </c>
      <c r="P20" s="324" t="str">
        <f>IF(AND(N20&lt;&gt;0,O20&lt;&gt;0,N20&lt;&gt;"",O20&lt;&gt;""),(N20/O20)*60,"")</f>
        <v/>
      </c>
      <c r="Q20" s="325"/>
      <c r="R20" s="326" t="str">
        <f>IF(AND(P20&lt;&gt;""),(P20/60)*$R$9,"")</f>
        <v/>
      </c>
      <c r="S20" s="350"/>
      <c r="T20" s="134" t="s">
        <v>33</v>
      </c>
      <c r="U20" s="135"/>
      <c r="V20" s="135"/>
      <c r="W20" s="135"/>
      <c r="X20" s="351"/>
    </row>
    <row r="21" spans="1:24" ht="21" customHeight="1" thickTop="1" thickBot="1">
      <c r="A21" s="389" t="str">
        <f>IF(AND(A19&lt;&gt;"",B21&lt;&gt;""), A19+1, "")</f>
        <v/>
      </c>
      <c r="B21" s="385"/>
      <c r="C21" s="386"/>
      <c r="D21" s="263"/>
      <c r="E21" s="267"/>
      <c r="F21" s="398"/>
      <c r="G21" s="395"/>
      <c r="H21" s="396"/>
      <c r="I21" s="392"/>
      <c r="J21" s="309" t="str">
        <f>IF(AND(J20&lt;&gt;0,I20&lt;&gt;0,H20&lt;&gt;"",G20&lt;&gt;""),DEGREES(ASIN((H20/I20)*SIN(RADIANS(J20-(180+G20))))),"")</f>
        <v/>
      </c>
      <c r="K21" s="310"/>
      <c r="L21" s="310"/>
      <c r="M21" s="394"/>
      <c r="N21" s="311" t="str">
        <f>IF(AND(N19&lt;&gt;0,N20&lt;&gt;0,N20&lt;&gt;"",N19&lt;&gt;""),N19-N20,"")</f>
        <v/>
      </c>
      <c r="O21" s="312" t="str">
        <f>IF(AND(P21&gt;0,P21&lt;&gt;"",N20&lt;&gt;"",O20&lt;&gt;""),N20/(P21/60),"")</f>
        <v/>
      </c>
      <c r="P21" s="327"/>
      <c r="Q21" s="328"/>
      <c r="R21" s="329" t="str">
        <f>IF(AND(R20&lt;&gt;"",R19&lt;&gt;""),R19-R20,"")</f>
        <v/>
      </c>
      <c r="S21" s="352"/>
      <c r="T21" s="137"/>
      <c r="U21" s="138"/>
      <c r="V21" s="136"/>
      <c r="W21" s="137"/>
      <c r="X21" s="353"/>
    </row>
    <row r="22" spans="1:24" ht="21" customHeight="1" thickTop="1" thickBot="1">
      <c r="A22" s="390"/>
      <c r="B22" s="387"/>
      <c r="C22" s="388"/>
      <c r="D22" s="265"/>
      <c r="E22" s="266"/>
      <c r="F22" s="397"/>
      <c r="G22" s="287">
        <v>0</v>
      </c>
      <c r="H22" s="288">
        <v>0</v>
      </c>
      <c r="I22" s="391">
        <f>I9</f>
        <v>105</v>
      </c>
      <c r="J22" s="305"/>
      <c r="K22" s="306" t="str">
        <f>IF(AND(J22&lt;&gt;0, J23&lt;&gt;""),MOD(J22+J23,360),"")</f>
        <v/>
      </c>
      <c r="L22" s="306" t="str">
        <f>IF(AND(K22&lt;&gt;0, K22&lt;&gt;""),MOD(K22+K23,360),"")</f>
        <v/>
      </c>
      <c r="M22" s="393" t="str">
        <f>IF(AND(L22&lt;&gt;0, L22&lt;&gt;""),MOD(L22+L23,360),"")</f>
        <v/>
      </c>
      <c r="N22" s="307"/>
      <c r="O22" s="308" t="str">
        <f>IF(AND(J22&lt;&gt;"",J23&lt;&gt;""),H22*COS(RADIANS(J22-(180+G22)))+I22*COS(RADIANS(J23)),"")</f>
        <v/>
      </c>
      <c r="P22" s="324" t="str">
        <f>IF(AND(N22&lt;&gt;0,O22&lt;&gt;0,N22&lt;&gt;"",O22&lt;&gt;""),(N22/O22)*60,"")</f>
        <v/>
      </c>
      <c r="Q22" s="325"/>
      <c r="R22" s="326" t="str">
        <f>IF(AND(P22&lt;&gt;""),(P22/60)*$R$9,"")</f>
        <v/>
      </c>
      <c r="S22" s="354" t="s">
        <v>21</v>
      </c>
      <c r="T22" s="118"/>
      <c r="U22" s="119"/>
      <c r="V22" s="139" t="s">
        <v>21</v>
      </c>
      <c r="W22" s="118"/>
      <c r="X22" s="355"/>
    </row>
    <row r="23" spans="1:24" ht="21" customHeight="1" thickTop="1" thickBot="1">
      <c r="A23" s="389" t="str">
        <f>IF(AND(A21&lt;&gt;"",B23&lt;&gt;""), A21+1, "")</f>
        <v/>
      </c>
      <c r="B23" s="385"/>
      <c r="C23" s="386"/>
      <c r="D23" s="263"/>
      <c r="E23" s="267"/>
      <c r="F23" s="398"/>
      <c r="G23" s="395"/>
      <c r="H23" s="396"/>
      <c r="I23" s="392"/>
      <c r="J23" s="309" t="str">
        <f>IF(AND(J22&lt;&gt;0,I22&lt;&gt;0,H22&lt;&gt;"",G22&lt;&gt;""),DEGREES(ASIN((H22/I22)*SIN(RADIANS(J22-(180+G22))))),"")</f>
        <v/>
      </c>
      <c r="K23" s="310"/>
      <c r="L23" s="310"/>
      <c r="M23" s="394"/>
      <c r="N23" s="311" t="str">
        <f>IF(AND(N21&lt;&gt;0,N22&lt;&gt;0,N22&lt;&gt;"",N21&lt;&gt;""),N21-N22,"")</f>
        <v/>
      </c>
      <c r="O23" s="312" t="str">
        <f>IF(AND(P23&gt;0,P23&lt;&gt;"",N22&lt;&gt;"",O22&lt;&gt;""),N22/(P23/60),"")</f>
        <v/>
      </c>
      <c r="P23" s="327"/>
      <c r="Q23" s="328"/>
      <c r="R23" s="329" t="str">
        <f>IF(AND(R22&lt;&gt;"",R21&lt;&gt;""),R21-R22,"")</f>
        <v/>
      </c>
      <c r="S23" s="356" t="s">
        <v>38</v>
      </c>
      <c r="T23" s="118"/>
      <c r="U23" s="119"/>
      <c r="V23" s="140" t="s">
        <v>269</v>
      </c>
      <c r="W23" s="118"/>
      <c r="X23" s="355"/>
    </row>
    <row r="24" spans="1:24" ht="21" customHeight="1" thickTop="1" thickBot="1">
      <c r="A24" s="390"/>
      <c r="B24" s="387"/>
      <c r="C24" s="388"/>
      <c r="D24" s="265"/>
      <c r="E24" s="266"/>
      <c r="F24" s="397"/>
      <c r="G24" s="287">
        <v>0</v>
      </c>
      <c r="H24" s="288">
        <v>0</v>
      </c>
      <c r="I24" s="391">
        <f>I9</f>
        <v>105</v>
      </c>
      <c r="J24" s="305"/>
      <c r="K24" s="313" t="str">
        <f>IF(AND(J24&lt;&gt;0, J25&lt;&gt;""),MOD(J24+J25,360),"")</f>
        <v/>
      </c>
      <c r="L24" s="306" t="str">
        <f>IF(AND(K24&lt;&gt;0, K24&lt;&gt;""),MOD(K24+K25,360),"")</f>
        <v/>
      </c>
      <c r="M24" s="393" t="str">
        <f>IF(AND(L24&lt;&gt;0, L24&lt;&gt;""),MOD(L24+L25,360),"")</f>
        <v/>
      </c>
      <c r="N24" s="307"/>
      <c r="O24" s="308" t="str">
        <f>IF(AND(J24&lt;&gt;"",J25&lt;&gt;""),H24*COS(RADIANS(J24-(180+G24)))+I24*COS(RADIANS(J25)),"")</f>
        <v/>
      </c>
      <c r="P24" s="324" t="str">
        <f>IF(AND(N24&lt;&gt;0,O24&lt;&gt;0,N24&lt;&gt;"",O24&lt;&gt;""),(N24/O24)*60,"")</f>
        <v/>
      </c>
      <c r="Q24" s="325"/>
      <c r="R24" s="326" t="str">
        <f>IF(AND(P24&lt;&gt;""),(P24/60)*$R$9,"")</f>
        <v/>
      </c>
      <c r="S24" s="356" t="s">
        <v>23</v>
      </c>
      <c r="T24" s="118"/>
      <c r="U24" s="119"/>
      <c r="V24" s="140" t="s">
        <v>23</v>
      </c>
      <c r="W24" s="118"/>
      <c r="X24" s="355"/>
    </row>
    <row r="25" spans="1:24" ht="21" customHeight="1" thickTop="1" thickBot="1">
      <c r="A25" s="389" t="str">
        <f>IF(AND(A23&lt;&gt;"",B25&lt;&gt;""), A23+1, "")</f>
        <v/>
      </c>
      <c r="B25" s="385"/>
      <c r="C25" s="386"/>
      <c r="D25" s="263"/>
      <c r="E25" s="267"/>
      <c r="F25" s="398"/>
      <c r="G25" s="395"/>
      <c r="H25" s="396"/>
      <c r="I25" s="392"/>
      <c r="J25" s="309" t="str">
        <f>IF(AND(J24&lt;&gt;0,I24&lt;&gt;0,H24&lt;&gt;"",G24&lt;&gt;""),DEGREES(ASIN((H24/I24)*SIN(RADIANS(J24-(180+G24))))),"")</f>
        <v/>
      </c>
      <c r="K25" s="310"/>
      <c r="L25" s="310"/>
      <c r="M25" s="394"/>
      <c r="N25" s="311" t="str">
        <f>IF(AND(N23&lt;&gt;0,N24&lt;&gt;0,N24&lt;&gt;"",N23&lt;&gt;""),N23-N24,"")</f>
        <v/>
      </c>
      <c r="O25" s="312" t="str">
        <f>IF(AND(P25&gt;0,P25&lt;&gt;"",N24&lt;&gt;"",O24&lt;&gt;""),N24/(P25/60),"")</f>
        <v/>
      </c>
      <c r="P25" s="327"/>
      <c r="Q25" s="328"/>
      <c r="R25" s="329" t="str">
        <f>IF(AND(R24&lt;&gt;"",R23&lt;&gt;""),R23-R24,"")</f>
        <v/>
      </c>
      <c r="S25" s="356" t="s">
        <v>22</v>
      </c>
      <c r="T25" s="118"/>
      <c r="U25" s="119"/>
      <c r="V25" s="140" t="s">
        <v>22</v>
      </c>
      <c r="W25" s="118"/>
      <c r="X25" s="355"/>
    </row>
    <row r="26" spans="1:24" ht="21" customHeight="1" thickTop="1" thickBot="1">
      <c r="A26" s="390"/>
      <c r="B26" s="387"/>
      <c r="C26" s="388"/>
      <c r="D26" s="265"/>
      <c r="E26" s="266"/>
      <c r="F26" s="397"/>
      <c r="G26" s="287">
        <v>0</v>
      </c>
      <c r="H26" s="288">
        <v>0</v>
      </c>
      <c r="I26" s="391">
        <f>I9</f>
        <v>105</v>
      </c>
      <c r="J26" s="305"/>
      <c r="K26" s="306" t="str">
        <f>IF(AND(J26&lt;&gt;0, J27&lt;&gt;""),MOD(J26+J27,360),"")</f>
        <v/>
      </c>
      <c r="L26" s="306" t="str">
        <f>IF(AND(K26&lt;&gt;0, K26&lt;&gt;""),MOD(K26+K27,360),"")</f>
        <v/>
      </c>
      <c r="M26" s="393" t="str">
        <f>IF(AND(L26&lt;&gt;0, L26&lt;&gt;""),MOD(L26+L27,360),"")</f>
        <v/>
      </c>
      <c r="N26" s="307"/>
      <c r="O26" s="308" t="str">
        <f>IF(AND(J26&lt;&gt;"",J27&lt;&gt;""),H26*COS(RADIANS(J26-(180+G26)))+I26*COS(RADIANS(J27)),"")</f>
        <v/>
      </c>
      <c r="P26" s="324" t="str">
        <f>IF(AND(N26&lt;&gt;0,O26&lt;&gt;0,N26&lt;&gt;"",O26&lt;&gt;""),(N26/O26)*60,"")</f>
        <v/>
      </c>
      <c r="Q26" s="325"/>
      <c r="R26" s="326" t="str">
        <f>IF(AND(P26&lt;&gt;""),(P26/60)*$R$9,"")</f>
        <v/>
      </c>
      <c r="S26" s="356" t="s">
        <v>24</v>
      </c>
      <c r="T26" s="118"/>
      <c r="U26" s="119"/>
      <c r="V26" s="140" t="s">
        <v>24</v>
      </c>
      <c r="W26" s="118"/>
      <c r="X26" s="355"/>
    </row>
    <row r="27" spans="1:24" ht="21" customHeight="1" thickTop="1" thickBot="1">
      <c r="A27" s="389" t="str">
        <f>IF(AND(A25&lt;&gt;"",B27&lt;&gt;""), A25+1, "")</f>
        <v/>
      </c>
      <c r="B27" s="385"/>
      <c r="C27" s="386"/>
      <c r="D27" s="263"/>
      <c r="E27" s="267"/>
      <c r="F27" s="398"/>
      <c r="G27" s="395"/>
      <c r="H27" s="396"/>
      <c r="I27" s="392"/>
      <c r="J27" s="309" t="str">
        <f>IF(AND(J26&lt;&gt;0,I26&lt;&gt;0,H26&lt;&gt;"",G26&lt;&gt;""),DEGREES(ASIN((H26/I26)*SIN(RADIANS(J26-(180+G26))))),"")</f>
        <v/>
      </c>
      <c r="K27" s="310"/>
      <c r="L27" s="310"/>
      <c r="M27" s="394"/>
      <c r="N27" s="311" t="str">
        <f>IF(AND(N25&lt;&gt;0,N26&lt;&gt;0,N26&lt;&gt;"",N25&lt;&gt;""),N25-N26,"")</f>
        <v/>
      </c>
      <c r="O27" s="312" t="str">
        <f>IF(AND(P27&gt;0,P27&lt;&gt;"",N26&lt;&gt;"",O26&lt;&gt;""),N26/(P27/60),"")</f>
        <v/>
      </c>
      <c r="P27" s="327"/>
      <c r="Q27" s="328"/>
      <c r="R27" s="329" t="str">
        <f>IF(AND(R26&lt;&gt;"",R25&lt;&gt;""),R25-R26,"")</f>
        <v/>
      </c>
      <c r="S27" s="356" t="s">
        <v>26</v>
      </c>
      <c r="T27" s="118"/>
      <c r="U27" s="119"/>
      <c r="V27" s="140" t="s">
        <v>26</v>
      </c>
      <c r="W27" s="118"/>
      <c r="X27" s="355"/>
    </row>
    <row r="28" spans="1:24" ht="21" customHeight="1" thickTop="1" thickBot="1">
      <c r="A28" s="390"/>
      <c r="B28" s="387"/>
      <c r="C28" s="388"/>
      <c r="D28" s="265"/>
      <c r="E28" s="268"/>
      <c r="F28" s="444" t="s">
        <v>190</v>
      </c>
      <c r="G28" s="444"/>
      <c r="H28" s="444"/>
      <c r="I28" s="444"/>
      <c r="J28" s="444"/>
      <c r="K28" s="444"/>
      <c r="L28" s="444"/>
      <c r="M28" s="445"/>
      <c r="N28" s="250">
        <f>SUM(N7,N11)</f>
        <v>0</v>
      </c>
      <c r="O28" s="21"/>
      <c r="P28" s="335">
        <f>SUM(P9,P12,P14,P16,P18,P20,P22,P24,P26)</f>
        <v>0</v>
      </c>
      <c r="Q28" s="336"/>
      <c r="R28" s="337"/>
      <c r="S28" s="357" t="s">
        <v>25</v>
      </c>
      <c r="T28" s="358"/>
      <c r="U28" s="359"/>
      <c r="V28" s="360" t="s">
        <v>25</v>
      </c>
      <c r="W28" s="358"/>
      <c r="X28" s="361"/>
    </row>
    <row r="29" spans="1:24" ht="13.15" thickTop="1"/>
  </sheetData>
  <sheetProtection sheet="1" objects="1" scenarios="1"/>
  <dataConsolidate/>
  <mergeCells count="97">
    <mergeCell ref="G25:H25"/>
    <mergeCell ref="B20:C20"/>
    <mergeCell ref="M22:M23"/>
    <mergeCell ref="I20:I21"/>
    <mergeCell ref="W2:X2"/>
    <mergeCell ref="W3:X3"/>
    <mergeCell ref="M2:T2"/>
    <mergeCell ref="M3:T3"/>
    <mergeCell ref="K2:L2"/>
    <mergeCell ref="G4:H4"/>
    <mergeCell ref="I4:J4"/>
    <mergeCell ref="K4:L4"/>
    <mergeCell ref="W6:X6"/>
    <mergeCell ref="M6:T6"/>
    <mergeCell ref="M4:T4"/>
    <mergeCell ref="U2:V2"/>
    <mergeCell ref="W4:X4"/>
    <mergeCell ref="W5:X5"/>
    <mergeCell ref="U4:V4"/>
    <mergeCell ref="U5:V5"/>
    <mergeCell ref="F28:M28"/>
    <mergeCell ref="I26:I27"/>
    <mergeCell ref="F26:F27"/>
    <mergeCell ref="G21:H21"/>
    <mergeCell ref="G23:H23"/>
    <mergeCell ref="M24:M25"/>
    <mergeCell ref="I24:I25"/>
    <mergeCell ref="G27:H27"/>
    <mergeCell ref="F20:F21"/>
    <mergeCell ref="F22:F23"/>
    <mergeCell ref="M26:M27"/>
    <mergeCell ref="F24:F25"/>
    <mergeCell ref="U6:V6"/>
    <mergeCell ref="M5:T5"/>
    <mergeCell ref="A2:B2"/>
    <mergeCell ref="C2:E2"/>
    <mergeCell ref="A3:B3"/>
    <mergeCell ref="G2:H2"/>
    <mergeCell ref="I2:J2"/>
    <mergeCell ref="K5:L5"/>
    <mergeCell ref="A5:C5"/>
    <mergeCell ref="A4:B4"/>
    <mergeCell ref="G5:H5"/>
    <mergeCell ref="I3:J3"/>
    <mergeCell ref="I5:J5"/>
    <mergeCell ref="G3:H3"/>
    <mergeCell ref="K3:L3"/>
    <mergeCell ref="U3:V3"/>
    <mergeCell ref="A6:C6"/>
    <mergeCell ref="D7:M7"/>
    <mergeCell ref="B11:C11"/>
    <mergeCell ref="B12:C12"/>
    <mergeCell ref="B13:C13"/>
    <mergeCell ref="I12:I13"/>
    <mergeCell ref="A7:C7"/>
    <mergeCell ref="A10:C10"/>
    <mergeCell ref="A9:C9"/>
    <mergeCell ref="M12:M13"/>
    <mergeCell ref="F12:F13"/>
    <mergeCell ref="G13:H13"/>
    <mergeCell ref="B15:C15"/>
    <mergeCell ref="B17:C17"/>
    <mergeCell ref="B18:C18"/>
    <mergeCell ref="A11:A12"/>
    <mergeCell ref="A13:A14"/>
    <mergeCell ref="B14:C14"/>
    <mergeCell ref="A17:A18"/>
    <mergeCell ref="A15:A16"/>
    <mergeCell ref="F14:F15"/>
    <mergeCell ref="F18:F19"/>
    <mergeCell ref="G17:H17"/>
    <mergeCell ref="M14:M15"/>
    <mergeCell ref="I14:I15"/>
    <mergeCell ref="G15:H15"/>
    <mergeCell ref="I16:I17"/>
    <mergeCell ref="I22:I23"/>
    <mergeCell ref="M20:M21"/>
    <mergeCell ref="B21:C21"/>
    <mergeCell ref="B22:C22"/>
    <mergeCell ref="M16:M17"/>
    <mergeCell ref="M18:M19"/>
    <mergeCell ref="I18:I19"/>
    <mergeCell ref="G19:H19"/>
    <mergeCell ref="F16:F17"/>
    <mergeCell ref="B19:C19"/>
    <mergeCell ref="B16:C16"/>
    <mergeCell ref="A27:A28"/>
    <mergeCell ref="A21:A22"/>
    <mergeCell ref="A23:A24"/>
    <mergeCell ref="A25:A26"/>
    <mergeCell ref="A19:A20"/>
    <mergeCell ref="B27:C27"/>
    <mergeCell ref="B28:C28"/>
    <mergeCell ref="B23:C23"/>
    <mergeCell ref="B24:C24"/>
    <mergeCell ref="B25:C25"/>
    <mergeCell ref="B26:C26"/>
  </mergeCells>
  <phoneticPr fontId="0" type="noConversion"/>
  <pageMargins left="0.22" right="0.22" top="0.25" bottom="0.25" header="0" footer="0"/>
  <pageSetup orientation="landscape" r:id="rId1"/>
  <headerFooter alignWithMargins="0">
    <oddFooter>&amp;L&amp;"Arial,Bold"&amp;14Emergency: 121.5 / Squawk 7700          Enroute 122.75&amp;R&amp;"Arial,Bold"&amp;14Flight Watch (EFAS)  122.0</oddFooter>
  </headerFooter>
  <ignoredErrors>
    <ignoredError sqref="E4 C3:C4 O27 E6" unlockedFormula="1"/>
  </ignoredErrors>
  <drawing r:id="rId2"/>
</worksheet>
</file>

<file path=xl/worksheets/sheet3.xml><?xml version="1.0" encoding="utf-8"?>
<worksheet xmlns="http://schemas.openxmlformats.org/spreadsheetml/2006/main" xmlns:r="http://schemas.openxmlformats.org/officeDocument/2006/relationships">
  <dimension ref="A1:O70"/>
  <sheetViews>
    <sheetView showGridLines="0" workbookViewId="0">
      <selection activeCell="L30" sqref="L30"/>
    </sheetView>
  </sheetViews>
  <sheetFormatPr defaultRowHeight="12.55"/>
  <cols>
    <col min="9" max="10" width="9.109375" style="32" customWidth="1"/>
    <col min="11" max="11" width="20.5546875" customWidth="1"/>
    <col min="14" max="14" width="5.77734375" customWidth="1"/>
  </cols>
  <sheetData>
    <row r="1" spans="1:10">
      <c r="A1" t="s">
        <v>144</v>
      </c>
    </row>
    <row r="2" spans="1:10">
      <c r="A2" t="s">
        <v>44</v>
      </c>
    </row>
    <row r="3" spans="1:10">
      <c r="A3" t="s">
        <v>45</v>
      </c>
    </row>
    <row r="5" spans="1:10">
      <c r="A5" t="s">
        <v>46</v>
      </c>
    </row>
    <row r="6" spans="1:10">
      <c r="A6" t="s">
        <v>48</v>
      </c>
    </row>
    <row r="7" spans="1:10">
      <c r="A7" t="s">
        <v>49</v>
      </c>
    </row>
    <row r="8" spans="1:10">
      <c r="A8" t="s">
        <v>50</v>
      </c>
    </row>
    <row r="10" spans="1:10">
      <c r="A10" t="s">
        <v>47</v>
      </c>
    </row>
    <row r="11" spans="1:10">
      <c r="A11" t="s">
        <v>51</v>
      </c>
    </row>
    <row r="12" spans="1:10">
      <c r="A12" t="s">
        <v>52</v>
      </c>
    </row>
    <row r="13" spans="1:10">
      <c r="A13" t="s">
        <v>53</v>
      </c>
    </row>
    <row r="14" spans="1:10">
      <c r="A14" t="s">
        <v>54</v>
      </c>
    </row>
    <row r="16" spans="1:10" ht="15.05" customHeight="1">
      <c r="A16" s="14" t="s">
        <v>55</v>
      </c>
      <c r="B16" s="14" t="s">
        <v>57</v>
      </c>
      <c r="C16" s="14" t="s">
        <v>59</v>
      </c>
      <c r="D16" s="14" t="s">
        <v>61</v>
      </c>
      <c r="E16" s="14" t="s">
        <v>64</v>
      </c>
      <c r="F16" s="12" t="s">
        <v>72</v>
      </c>
      <c r="G16" s="17"/>
      <c r="H16" s="16"/>
      <c r="I16" s="74" t="s">
        <v>61</v>
      </c>
      <c r="J16" s="78"/>
    </row>
    <row r="17" spans="1:15" ht="15.05" customHeight="1">
      <c r="A17" s="5" t="s">
        <v>56</v>
      </c>
      <c r="B17" s="5" t="s">
        <v>3</v>
      </c>
      <c r="C17" s="5" t="s">
        <v>60</v>
      </c>
      <c r="D17" s="19" t="s">
        <v>62</v>
      </c>
      <c r="E17" s="19" t="s">
        <v>61</v>
      </c>
      <c r="F17" s="20" t="s">
        <v>66</v>
      </c>
      <c r="G17" s="20" t="s">
        <v>68</v>
      </c>
      <c r="H17" s="14" t="s">
        <v>70</v>
      </c>
      <c r="I17" s="75" t="s">
        <v>62</v>
      </c>
      <c r="J17" s="78"/>
    </row>
    <row r="18" spans="1:15" ht="15.05" customHeight="1">
      <c r="A18" s="13"/>
      <c r="B18" s="13" t="s">
        <v>58</v>
      </c>
      <c r="C18" s="13"/>
      <c r="D18" s="13" t="s">
        <v>63</v>
      </c>
      <c r="E18" s="13" t="s">
        <v>65</v>
      </c>
      <c r="F18" s="13" t="s">
        <v>67</v>
      </c>
      <c r="G18" s="13" t="s">
        <v>69</v>
      </c>
      <c r="H18" s="13" t="s">
        <v>71</v>
      </c>
      <c r="I18" s="76" t="s">
        <v>169</v>
      </c>
      <c r="J18" s="78"/>
    </row>
    <row r="19" spans="1:15" ht="15.05" customHeight="1">
      <c r="A19" s="5">
        <v>2325</v>
      </c>
      <c r="B19" s="15">
        <v>0</v>
      </c>
      <c r="C19" s="15">
        <v>15</v>
      </c>
      <c r="D19" s="15">
        <v>79</v>
      </c>
      <c r="E19" s="15">
        <v>706</v>
      </c>
      <c r="F19" s="26">
        <v>0</v>
      </c>
      <c r="G19" s="26">
        <v>0</v>
      </c>
      <c r="H19" s="26">
        <v>0</v>
      </c>
      <c r="I19" s="77">
        <f>D19*(0.02*(B19/1000)+1)</f>
        <v>79</v>
      </c>
      <c r="J19" s="79"/>
    </row>
    <row r="20" spans="1:15" ht="15.05" customHeight="1">
      <c r="A20" s="5"/>
      <c r="B20" s="15">
        <f>(B21+B19)/2</f>
        <v>500</v>
      </c>
      <c r="C20" s="15">
        <f>(C21+C19)/2</f>
        <v>14</v>
      </c>
      <c r="D20" s="15">
        <v>79</v>
      </c>
      <c r="E20" s="15">
        <f>(E19+E21)/2</f>
        <v>683</v>
      </c>
      <c r="F20" s="26">
        <f>(F19+F21)/2</f>
        <v>0.75</v>
      </c>
      <c r="G20" s="26">
        <f>(G19+G21)/2</f>
        <v>0.215</v>
      </c>
      <c r="H20" s="26">
        <f>(H19+H21)/2</f>
        <v>1.1000000000000001</v>
      </c>
      <c r="I20" s="77">
        <f t="shared" ref="I20:I43" si="0">D20*(0.02*(B20/1000)+1)</f>
        <v>79.790000000000006</v>
      </c>
      <c r="J20" s="79"/>
    </row>
    <row r="21" spans="1:15" ht="15.05" customHeight="1">
      <c r="A21" s="5"/>
      <c r="B21" s="15">
        <v>1000</v>
      </c>
      <c r="C21" s="15">
        <v>13</v>
      </c>
      <c r="D21" s="15">
        <v>79</v>
      </c>
      <c r="E21" s="15">
        <v>660</v>
      </c>
      <c r="F21" s="26">
        <v>1.5</v>
      </c>
      <c r="G21" s="26">
        <v>0.43</v>
      </c>
      <c r="H21" s="26">
        <v>2.2000000000000002</v>
      </c>
      <c r="I21" s="77">
        <f t="shared" si="0"/>
        <v>80.58</v>
      </c>
      <c r="J21" s="79"/>
      <c r="K21" s="43" t="s">
        <v>85</v>
      </c>
      <c r="L21" s="44">
        <v>29.92</v>
      </c>
      <c r="M21" s="43"/>
      <c r="N21" s="43" t="s">
        <v>86</v>
      </c>
      <c r="O21" s="43">
        <f>L21*33.8639</f>
        <v>1013.2078880000001</v>
      </c>
    </row>
    <row r="22" spans="1:15" ht="15.05" customHeight="1">
      <c r="A22" s="5"/>
      <c r="B22" s="15">
        <f>(B23+B21)/2</f>
        <v>1500</v>
      </c>
      <c r="C22" s="15">
        <f>(C23+C21)/2</f>
        <v>12</v>
      </c>
      <c r="D22" s="15">
        <v>79</v>
      </c>
      <c r="E22" s="15">
        <f>(E21+E23)/2</f>
        <v>637</v>
      </c>
      <c r="F22" s="26">
        <f>(F21+F23)/2</f>
        <v>2.25</v>
      </c>
      <c r="G22" s="26">
        <f>(G21+G23)/2</f>
        <v>0.64500000000000002</v>
      </c>
      <c r="H22" s="26">
        <f>(H21+H23)/2</f>
        <v>3.35</v>
      </c>
      <c r="I22" s="77">
        <f t="shared" si="0"/>
        <v>81.37</v>
      </c>
      <c r="J22" s="79"/>
      <c r="K22" s="43" t="s">
        <v>87</v>
      </c>
      <c r="L22" s="44">
        <v>3400</v>
      </c>
      <c r="M22" s="43"/>
      <c r="N22" s="43" t="s">
        <v>88</v>
      </c>
      <c r="O22" s="43">
        <f>L22*0.3048</f>
        <v>1036.3200000000002</v>
      </c>
    </row>
    <row r="23" spans="1:15" ht="15.05" customHeight="1">
      <c r="A23" s="5"/>
      <c r="B23" s="15">
        <v>2000</v>
      </c>
      <c r="C23" s="15">
        <v>11</v>
      </c>
      <c r="D23" s="15">
        <v>79</v>
      </c>
      <c r="E23" s="15">
        <v>614</v>
      </c>
      <c r="F23" s="26">
        <v>3</v>
      </c>
      <c r="G23" s="26">
        <v>0.86</v>
      </c>
      <c r="H23" s="26">
        <v>4.5</v>
      </c>
      <c r="I23" s="77">
        <f t="shared" si="0"/>
        <v>82.16</v>
      </c>
      <c r="J23" s="79"/>
      <c r="K23" s="45" t="s">
        <v>95</v>
      </c>
      <c r="L23" s="46">
        <v>45</v>
      </c>
      <c r="M23" s="43"/>
      <c r="N23" s="43" t="s">
        <v>89</v>
      </c>
      <c r="O23" s="43">
        <f>POWER(O21, 0.190284)</f>
        <v>3.7319545431425358</v>
      </c>
    </row>
    <row r="24" spans="1:15" ht="15.05" customHeight="1">
      <c r="A24" s="5"/>
      <c r="B24" s="15">
        <f>(B25+B23)/2</f>
        <v>2500</v>
      </c>
      <c r="C24" s="15">
        <f>(C25+C23)/2</f>
        <v>10</v>
      </c>
      <c r="D24" s="15">
        <v>79</v>
      </c>
      <c r="E24" s="15">
        <f>(E23+E25)/2</f>
        <v>591</v>
      </c>
      <c r="F24" s="26">
        <f>(F23+F25)/2</f>
        <v>4</v>
      </c>
      <c r="G24" s="26">
        <f>(G23+G25)/2</f>
        <v>1.075</v>
      </c>
      <c r="H24" s="26">
        <f>(H23+H25)/2</f>
        <v>5.75</v>
      </c>
      <c r="I24" s="77">
        <f t="shared" si="0"/>
        <v>82.95</v>
      </c>
      <c r="J24" s="79"/>
      <c r="K24" s="45" t="s">
        <v>130</v>
      </c>
      <c r="L24" s="110">
        <f>IF(L23="","",(L23-32)/1.8)</f>
        <v>7.2222222222222223</v>
      </c>
      <c r="M24" s="43"/>
      <c r="N24" s="43" t="s">
        <v>91</v>
      </c>
      <c r="O24" s="43">
        <f>O22*0.000084288</f>
        <v>8.7349340160000011E-2</v>
      </c>
    </row>
    <row r="25" spans="1:15" ht="15.05" customHeight="1">
      <c r="A25" s="5"/>
      <c r="B25" s="15">
        <v>3000</v>
      </c>
      <c r="C25" s="15">
        <v>9</v>
      </c>
      <c r="D25" s="15">
        <v>79</v>
      </c>
      <c r="E25" s="15">
        <v>568</v>
      </c>
      <c r="F25" s="26">
        <v>5</v>
      </c>
      <c r="G25" s="26">
        <v>1.29</v>
      </c>
      <c r="H25" s="26">
        <v>7</v>
      </c>
      <c r="I25" s="77">
        <f t="shared" si="0"/>
        <v>83.740000000000009</v>
      </c>
      <c r="J25" s="79"/>
      <c r="K25" s="43"/>
      <c r="L25" s="43"/>
      <c r="M25" s="43"/>
      <c r="N25" s="43" t="s">
        <v>93</v>
      </c>
      <c r="O25" s="43">
        <f>POWER((O23-O24),5.2553026) + 0.3</f>
        <v>894.92964421635065</v>
      </c>
    </row>
    <row r="26" spans="1:15" ht="15.05" customHeight="1">
      <c r="A26" s="5"/>
      <c r="B26" s="15">
        <f>(B27+B25)/2</f>
        <v>3500</v>
      </c>
      <c r="C26" s="15">
        <f>(C27+C25)/2</f>
        <v>8</v>
      </c>
      <c r="D26" s="15">
        <v>79</v>
      </c>
      <c r="E26" s="15">
        <f>(E25+E27)/2</f>
        <v>545</v>
      </c>
      <c r="F26" s="26">
        <f>(F25+F27)/2</f>
        <v>5.85</v>
      </c>
      <c r="G26" s="26">
        <f>(G25+G27)/2</f>
        <v>1.5049999999999999</v>
      </c>
      <c r="H26" s="26">
        <f>(H25+H27)/2</f>
        <v>8.25</v>
      </c>
      <c r="I26" s="77">
        <f t="shared" si="0"/>
        <v>84.53</v>
      </c>
      <c r="J26" s="79"/>
      <c r="K26" s="47" t="s">
        <v>90</v>
      </c>
      <c r="L26" s="108">
        <f>O25*0.02953</f>
        <v>26.427272393708837</v>
      </c>
      <c r="M26" s="43"/>
      <c r="N26" s="43" t="s">
        <v>94</v>
      </c>
      <c r="O26" s="43">
        <f>POWER((O25/1013.25), 0.190284)</f>
        <v>0.97664879386488335</v>
      </c>
    </row>
    <row r="27" spans="1:15" ht="15.05" customHeight="1">
      <c r="A27" s="5"/>
      <c r="B27" s="15">
        <v>4000</v>
      </c>
      <c r="C27" s="15">
        <v>7</v>
      </c>
      <c r="D27" s="15">
        <v>79</v>
      </c>
      <c r="E27" s="15">
        <v>522</v>
      </c>
      <c r="F27" s="26">
        <v>6.7</v>
      </c>
      <c r="G27" s="26">
        <v>1.72</v>
      </c>
      <c r="H27" s="26">
        <v>9.5</v>
      </c>
      <c r="I27" s="77">
        <f t="shared" si="0"/>
        <v>85.320000000000007</v>
      </c>
      <c r="J27" s="79"/>
      <c r="K27" s="47" t="s">
        <v>92</v>
      </c>
      <c r="L27" s="109">
        <f>(1-O26)*145366.45</f>
        <v>3394.4819390801285</v>
      </c>
      <c r="M27" s="43"/>
      <c r="N27" s="43"/>
      <c r="O27" s="43"/>
    </row>
    <row r="28" spans="1:15" ht="15.05" customHeight="1">
      <c r="A28" s="5"/>
      <c r="B28" s="15">
        <f>(B29+B27)/2</f>
        <v>4500</v>
      </c>
      <c r="C28" s="15">
        <f>(C29+C27)/2</f>
        <v>6</v>
      </c>
      <c r="D28" s="15">
        <v>79</v>
      </c>
      <c r="E28" s="15">
        <f>(E27+E29)/2</f>
        <v>499</v>
      </c>
      <c r="F28" s="26">
        <f>(F27+F29)/2</f>
        <v>7.85</v>
      </c>
      <c r="G28" s="26">
        <f>(G27+G29)/2</f>
        <v>1.9350000000000001</v>
      </c>
      <c r="H28" s="26">
        <f>(H27+H29)/2</f>
        <v>10.85</v>
      </c>
      <c r="I28" s="77">
        <f t="shared" si="0"/>
        <v>86.11</v>
      </c>
      <c r="J28" s="79"/>
      <c r="K28" s="47" t="s">
        <v>97</v>
      </c>
      <c r="L28" s="109">
        <f>145366*(1-(POWER(O28,0.235)))</f>
        <v>3287.4753109583694</v>
      </c>
      <c r="M28" s="43"/>
      <c r="N28" s="43" t="s">
        <v>96</v>
      </c>
      <c r="O28" s="43">
        <f>(17.326*L26)/(L23+459.69)</f>
        <v>0.90724785807802677</v>
      </c>
    </row>
    <row r="29" spans="1:15" ht="15.05" customHeight="1">
      <c r="A29" s="5"/>
      <c r="B29" s="15">
        <v>5000</v>
      </c>
      <c r="C29" s="15">
        <v>5</v>
      </c>
      <c r="D29" s="15">
        <v>79</v>
      </c>
      <c r="E29" s="15">
        <v>476</v>
      </c>
      <c r="F29" s="26">
        <v>9</v>
      </c>
      <c r="G29" s="26">
        <v>2.15</v>
      </c>
      <c r="H29" s="26">
        <v>12.2</v>
      </c>
      <c r="I29" s="77">
        <f t="shared" si="0"/>
        <v>86.9</v>
      </c>
      <c r="J29" s="79"/>
      <c r="K29" s="43"/>
      <c r="L29" s="43"/>
      <c r="M29" s="43"/>
      <c r="N29" s="43" t="s">
        <v>189</v>
      </c>
      <c r="O29" s="43"/>
    </row>
    <row r="30" spans="1:15" ht="15.05" customHeight="1">
      <c r="A30" s="5"/>
      <c r="B30" s="15">
        <f>(B31+B29)/2</f>
        <v>5500</v>
      </c>
      <c r="C30" s="15">
        <f>(C31+C29)/2</f>
        <v>4</v>
      </c>
      <c r="D30" s="15">
        <v>79</v>
      </c>
      <c r="E30" s="15">
        <f>(E29+E31)/2</f>
        <v>453</v>
      </c>
      <c r="F30" s="26">
        <f>(F29+F31)/2</f>
        <v>10</v>
      </c>
      <c r="G30" s="26">
        <f>(G29+G31)/2</f>
        <v>2.3650000000000002</v>
      </c>
      <c r="H30" s="26">
        <f>(H29+H31)/2</f>
        <v>13.85</v>
      </c>
      <c r="I30" s="77">
        <f t="shared" si="0"/>
        <v>87.690000000000012</v>
      </c>
      <c r="J30" s="79"/>
      <c r="K30" s="47" t="s">
        <v>136</v>
      </c>
      <c r="L30" s="111">
        <f>N30 - (L28*0.046)</f>
        <v>554.77613569591495</v>
      </c>
      <c r="M30" s="43"/>
      <c r="N30" s="112">
        <v>706</v>
      </c>
      <c r="O30" s="113"/>
    </row>
    <row r="31" spans="1:15" ht="15.05" customHeight="1">
      <c r="A31" s="5"/>
      <c r="B31" s="15">
        <v>6000</v>
      </c>
      <c r="C31" s="15">
        <v>3</v>
      </c>
      <c r="D31" s="15">
        <v>79</v>
      </c>
      <c r="E31" s="15">
        <v>430</v>
      </c>
      <c r="F31" s="26">
        <v>11</v>
      </c>
      <c r="G31" s="26">
        <v>2.58</v>
      </c>
      <c r="H31" s="26">
        <v>15.5</v>
      </c>
      <c r="I31" s="77">
        <f t="shared" si="0"/>
        <v>88.48</v>
      </c>
      <c r="J31" s="79"/>
      <c r="K31" s="47" t="s">
        <v>137</v>
      </c>
      <c r="L31" s="111">
        <f>N31+(0.022778*L28)</f>
        <v>2269.8821126330099</v>
      </c>
      <c r="M31" s="43"/>
      <c r="N31" s="112">
        <v>2195</v>
      </c>
      <c r="O31" s="113"/>
    </row>
    <row r="32" spans="1:15" ht="15.05" customHeight="1">
      <c r="A32" s="5"/>
      <c r="B32" s="15">
        <f>(B33+B31)/2</f>
        <v>6500</v>
      </c>
      <c r="C32" s="15">
        <f>(C33+C31)/2</f>
        <v>2</v>
      </c>
      <c r="D32" s="15">
        <v>79</v>
      </c>
      <c r="E32" s="15">
        <f>(E31+E33)/2</f>
        <v>407</v>
      </c>
      <c r="F32" s="26">
        <f>(F31+F33)/2</f>
        <v>12.25</v>
      </c>
      <c r="G32" s="26">
        <f>(G31+G33)/2</f>
        <v>2.7949999999999999</v>
      </c>
      <c r="H32" s="26">
        <f>(H31+H33)/2</f>
        <v>17.25</v>
      </c>
      <c r="I32" s="77">
        <f t="shared" si="0"/>
        <v>89.27</v>
      </c>
      <c r="J32" s="79"/>
      <c r="K32" s="47" t="s">
        <v>138</v>
      </c>
      <c r="L32" s="111">
        <f>N32+(0.022222*L28)</f>
        <v>2413.054276360117</v>
      </c>
      <c r="M32" s="43"/>
      <c r="N32" s="112">
        <v>2340</v>
      </c>
      <c r="O32" s="113"/>
    </row>
    <row r="33" spans="1:15" ht="15.05" customHeight="1">
      <c r="A33" s="5"/>
      <c r="B33" s="15">
        <v>7000</v>
      </c>
      <c r="C33" s="15">
        <v>1</v>
      </c>
      <c r="D33" s="15">
        <v>79</v>
      </c>
      <c r="E33" s="15">
        <v>384</v>
      </c>
      <c r="F33" s="26">
        <v>13.5</v>
      </c>
      <c r="G33" s="26">
        <v>3.01</v>
      </c>
      <c r="H33" s="26">
        <v>19</v>
      </c>
      <c r="I33" s="77">
        <f t="shared" si="0"/>
        <v>90.060000000000016</v>
      </c>
      <c r="J33" s="79"/>
      <c r="K33" s="47" t="s">
        <v>139</v>
      </c>
      <c r="L33" s="111">
        <f>N33+(0.022222*L28)</f>
        <v>2558.054276360117</v>
      </c>
      <c r="M33" s="43"/>
      <c r="N33" s="112">
        <v>2485</v>
      </c>
      <c r="O33" s="113"/>
    </row>
    <row r="34" spans="1:15" ht="15.05" customHeight="1">
      <c r="A34" s="5"/>
      <c r="B34" s="15">
        <f>(B35+B33)/2</f>
        <v>7500</v>
      </c>
      <c r="C34" s="15">
        <f>(C35+C33)/2</f>
        <v>0</v>
      </c>
      <c r="D34" s="15">
        <v>79</v>
      </c>
      <c r="E34" s="15">
        <f>(E33+E35)/2</f>
        <v>361</v>
      </c>
      <c r="F34" s="26">
        <f>(F33+F35)/2</f>
        <v>15</v>
      </c>
      <c r="G34" s="26">
        <f>(G33+G35)/2</f>
        <v>3.2249999999999996</v>
      </c>
      <c r="H34" s="26">
        <f>(H33+H35)/2</f>
        <v>21</v>
      </c>
      <c r="I34" s="77">
        <f t="shared" si="0"/>
        <v>90.85</v>
      </c>
      <c r="J34" s="79"/>
      <c r="K34" s="43"/>
      <c r="L34" s="43"/>
      <c r="M34" s="43"/>
      <c r="N34" s="43"/>
      <c r="O34" s="43"/>
    </row>
    <row r="35" spans="1:15" ht="15.05" customHeight="1">
      <c r="A35" s="5"/>
      <c r="B35" s="15">
        <v>8000</v>
      </c>
      <c r="C35" s="15">
        <v>-1</v>
      </c>
      <c r="D35" s="15">
        <v>79</v>
      </c>
      <c r="E35" s="15">
        <v>338</v>
      </c>
      <c r="F35" s="26">
        <v>16.5</v>
      </c>
      <c r="G35" s="26">
        <v>3.44</v>
      </c>
      <c r="H35" s="26">
        <v>23</v>
      </c>
      <c r="I35" s="77">
        <f t="shared" si="0"/>
        <v>91.64</v>
      </c>
      <c r="J35" s="79"/>
      <c r="K35" s="47" t="s">
        <v>98</v>
      </c>
      <c r="L35" s="114">
        <f>0.013187+L28*0.0001904595 +L28*L28*0.000000007342657</f>
        <v>0.71867362487280195</v>
      </c>
      <c r="M35" s="43"/>
      <c r="N35" s="43"/>
      <c r="O35" s="43"/>
    </row>
    <row r="36" spans="1:15" ht="15.05" customHeight="1">
      <c r="A36" s="5"/>
      <c r="B36" s="15">
        <f>(B37+B35)/2</f>
        <v>8500</v>
      </c>
      <c r="C36" s="15">
        <f>(C37+C35)/2</f>
        <v>-2</v>
      </c>
      <c r="D36" s="15">
        <v>79</v>
      </c>
      <c r="E36" s="15">
        <f>(E35+E37)/2</f>
        <v>315</v>
      </c>
      <c r="F36" s="26">
        <f>(F35+F37)/2</f>
        <v>18</v>
      </c>
      <c r="G36" s="26">
        <f>(G35+G37)/2</f>
        <v>3.6550000000000002</v>
      </c>
      <c r="H36" s="26">
        <f>(H35+H37)/2</f>
        <v>25.4</v>
      </c>
      <c r="I36" s="77">
        <f t="shared" si="0"/>
        <v>92.429999999999993</v>
      </c>
      <c r="J36" s="79"/>
      <c r="K36" s="47" t="s">
        <v>99</v>
      </c>
      <c r="L36" s="114">
        <f>-0.153846+L28*0.001529471-L28*L28*0.000000008991009+L28*L28*L28*0.000000000006993007</f>
        <v>5.0255390053937621</v>
      </c>
      <c r="M36" s="43"/>
      <c r="N36" s="43"/>
      <c r="O36" s="43"/>
    </row>
    <row r="37" spans="1:15" ht="15.05" customHeight="1">
      <c r="A37" s="5"/>
      <c r="B37" s="15">
        <v>9000</v>
      </c>
      <c r="C37" s="15">
        <v>-3</v>
      </c>
      <c r="D37" s="15">
        <v>79</v>
      </c>
      <c r="E37" s="15">
        <v>292</v>
      </c>
      <c r="F37" s="26">
        <v>19.5</v>
      </c>
      <c r="G37" s="26">
        <v>3.87</v>
      </c>
      <c r="H37" s="26">
        <v>27.8</v>
      </c>
      <c r="I37" s="77">
        <f t="shared" si="0"/>
        <v>93.22</v>
      </c>
      <c r="J37" s="79"/>
      <c r="K37" s="47" t="s">
        <v>100</v>
      </c>
      <c r="L37" s="114">
        <f>0.131868+L28*0.001481518+L28*L28*0.00000002797203+L28*L28*L28*0.000000000006993007</f>
        <v>5.5530865210705427</v>
      </c>
      <c r="M37" s="43"/>
      <c r="N37" s="43"/>
      <c r="O37" s="43"/>
    </row>
    <row r="38" spans="1:15" ht="15.05" customHeight="1">
      <c r="A38" s="5"/>
      <c r="B38" s="15">
        <f>(B39+B37)/2</f>
        <v>9500</v>
      </c>
      <c r="C38" s="15">
        <f>(C39+C37)/2</f>
        <v>-4</v>
      </c>
      <c r="D38" s="15">
        <v>79</v>
      </c>
      <c r="E38" s="15">
        <f>(E37+E39)/2</f>
        <v>269</v>
      </c>
      <c r="F38" s="26">
        <f>(F37+F39)/2</f>
        <v>21.25</v>
      </c>
      <c r="G38" s="26">
        <f>(G37+G39)/2</f>
        <v>4.085</v>
      </c>
      <c r="H38" s="26">
        <f>(H37+H39)/2</f>
        <v>30.65</v>
      </c>
      <c r="I38" s="77">
        <f t="shared" si="0"/>
        <v>94.009999999999991</v>
      </c>
      <c r="J38" s="79"/>
    </row>
    <row r="39" spans="1:15" ht="15.05" customHeight="1">
      <c r="A39" s="5"/>
      <c r="B39" s="15">
        <v>10000</v>
      </c>
      <c r="C39" s="15">
        <v>-5</v>
      </c>
      <c r="D39" s="15">
        <v>79</v>
      </c>
      <c r="E39" s="15">
        <v>246</v>
      </c>
      <c r="F39" s="26">
        <v>23</v>
      </c>
      <c r="G39" s="26">
        <v>4.3</v>
      </c>
      <c r="H39" s="26">
        <v>33.5</v>
      </c>
      <c r="I39" s="77">
        <f t="shared" si="0"/>
        <v>94.8</v>
      </c>
      <c r="J39" s="79"/>
    </row>
    <row r="40" spans="1:15" ht="15.05" customHeight="1">
      <c r="A40" s="5"/>
      <c r="B40" s="15">
        <f>(B41+B39)/2</f>
        <v>10500</v>
      </c>
      <c r="C40" s="15">
        <f>(C41+C39)/2</f>
        <v>-6</v>
      </c>
      <c r="D40" s="15">
        <v>79</v>
      </c>
      <c r="E40" s="15">
        <f>(E39+E41)/2</f>
        <v>223</v>
      </c>
      <c r="F40" s="26">
        <f>(F39+F41)/2</f>
        <v>25.25</v>
      </c>
      <c r="G40" s="26">
        <f>(G39+G41)/2</f>
        <v>4.5150000000000006</v>
      </c>
      <c r="H40" s="26">
        <f>(H39+H41)/2</f>
        <v>37.25</v>
      </c>
      <c r="I40" s="77">
        <f t="shared" si="0"/>
        <v>95.59</v>
      </c>
      <c r="J40" s="79"/>
    </row>
    <row r="41" spans="1:15" ht="15.05" customHeight="1">
      <c r="A41" s="5"/>
      <c r="B41" s="15">
        <v>11000</v>
      </c>
      <c r="C41" s="15">
        <v>-7</v>
      </c>
      <c r="D41" s="15">
        <v>79</v>
      </c>
      <c r="E41" s="15">
        <v>200</v>
      </c>
      <c r="F41" s="26">
        <v>27.5</v>
      </c>
      <c r="G41" s="26">
        <v>4.7300000000000004</v>
      </c>
      <c r="H41" s="26">
        <v>41</v>
      </c>
      <c r="I41" s="77">
        <f t="shared" si="0"/>
        <v>96.38</v>
      </c>
      <c r="J41" s="79"/>
    </row>
    <row r="42" spans="1:15" ht="15.05" customHeight="1">
      <c r="A42" s="5"/>
      <c r="B42" s="15">
        <f>(B43+B41)/2</f>
        <v>11500</v>
      </c>
      <c r="C42" s="15">
        <f>(C43+C41)/2</f>
        <v>-8</v>
      </c>
      <c r="D42" s="15">
        <v>79</v>
      </c>
      <c r="E42" s="15">
        <f>(E41+E43)/2</f>
        <v>177</v>
      </c>
      <c r="F42" s="26">
        <f>(F41+F43)/2</f>
        <v>30.65</v>
      </c>
      <c r="G42" s="26">
        <f>(G41+G43)/2</f>
        <v>4.9450000000000003</v>
      </c>
      <c r="H42" s="26">
        <f>(H41+H43)/2</f>
        <v>47.5</v>
      </c>
      <c r="I42" s="77">
        <f t="shared" si="0"/>
        <v>97.17</v>
      </c>
      <c r="J42" s="79"/>
    </row>
    <row r="43" spans="1:15" ht="15.05" customHeight="1">
      <c r="A43" s="13"/>
      <c r="B43" s="15">
        <v>12000</v>
      </c>
      <c r="C43" s="15">
        <v>-9</v>
      </c>
      <c r="D43" s="15">
        <v>79</v>
      </c>
      <c r="E43" s="15">
        <v>154</v>
      </c>
      <c r="F43" s="26">
        <v>33.799999999999997</v>
      </c>
      <c r="G43" s="26">
        <v>5.16</v>
      </c>
      <c r="H43" s="26">
        <v>54</v>
      </c>
      <c r="I43" s="77">
        <f t="shared" si="0"/>
        <v>97.96</v>
      </c>
      <c r="J43" s="79"/>
    </row>
    <row r="44" spans="1:15">
      <c r="A44" s="18"/>
      <c r="B44" s="18"/>
      <c r="C44" s="18"/>
      <c r="D44" s="18"/>
      <c r="E44" s="18"/>
      <c r="F44" s="18"/>
      <c r="G44" s="18"/>
      <c r="H44" s="18"/>
    </row>
    <row r="45" spans="1:15">
      <c r="A45" s="18"/>
      <c r="B45" s="18"/>
      <c r="C45" s="18"/>
      <c r="D45" s="18"/>
      <c r="E45" s="18"/>
      <c r="F45" s="18"/>
      <c r="G45" s="18"/>
      <c r="H45" s="18"/>
    </row>
    <row r="46" spans="1:15">
      <c r="A46" s="18"/>
      <c r="B46" s="18"/>
      <c r="C46" s="18"/>
      <c r="D46" s="18"/>
      <c r="E46" s="18"/>
      <c r="F46" s="18"/>
      <c r="G46" s="18"/>
      <c r="H46" s="18"/>
    </row>
    <row r="47" spans="1:15">
      <c r="A47" s="18"/>
      <c r="B47" s="18"/>
      <c r="C47" s="18"/>
      <c r="D47" s="18"/>
      <c r="E47" s="18"/>
      <c r="F47" s="18"/>
      <c r="G47" s="18"/>
      <c r="H47" s="18"/>
    </row>
    <row r="48" spans="1:15">
      <c r="A48" s="18"/>
      <c r="B48" s="18"/>
      <c r="C48" s="18"/>
      <c r="D48" s="18"/>
      <c r="E48" s="18"/>
      <c r="F48" s="18"/>
      <c r="G48" s="18"/>
      <c r="H48" s="18"/>
    </row>
    <row r="49" spans="1:8">
      <c r="A49" s="18"/>
      <c r="B49" s="18"/>
      <c r="C49" s="18"/>
      <c r="D49" s="18"/>
      <c r="E49" s="18"/>
      <c r="F49" s="18"/>
      <c r="G49" s="18"/>
      <c r="H49" s="18"/>
    </row>
    <row r="50" spans="1:8">
      <c r="A50" s="18"/>
      <c r="B50" s="18"/>
      <c r="C50" s="18"/>
      <c r="D50" s="18"/>
      <c r="E50" s="18"/>
      <c r="F50" s="18"/>
      <c r="G50" s="18"/>
      <c r="H50" s="18"/>
    </row>
    <row r="51" spans="1:8">
      <c r="A51" s="18"/>
      <c r="B51" s="18"/>
      <c r="C51" s="18"/>
      <c r="D51" s="18"/>
      <c r="E51" s="18"/>
      <c r="F51" s="18"/>
      <c r="G51" s="18"/>
      <c r="H51" s="18"/>
    </row>
    <row r="52" spans="1:8">
      <c r="A52" s="18"/>
      <c r="B52" s="18"/>
      <c r="C52" s="18"/>
      <c r="D52" s="18"/>
      <c r="E52" s="18"/>
      <c r="F52" s="18"/>
      <c r="G52" s="18"/>
      <c r="H52" s="18"/>
    </row>
    <row r="53" spans="1:8">
      <c r="A53" s="18"/>
      <c r="B53" s="18"/>
      <c r="C53" s="18"/>
      <c r="D53" s="18"/>
      <c r="E53" s="18"/>
      <c r="F53" s="18"/>
      <c r="G53" s="18"/>
      <c r="H53" s="18"/>
    </row>
    <row r="54" spans="1:8">
      <c r="A54" s="18"/>
      <c r="B54" s="18"/>
      <c r="C54" s="18"/>
      <c r="D54" s="18"/>
      <c r="E54" s="18"/>
      <c r="F54" s="18"/>
      <c r="G54" s="18"/>
      <c r="H54" s="18"/>
    </row>
    <row r="55" spans="1:8">
      <c r="A55" s="18"/>
      <c r="B55" s="18"/>
      <c r="C55" s="18"/>
      <c r="D55" s="18"/>
      <c r="E55" s="18"/>
      <c r="F55" s="18"/>
      <c r="G55" s="18"/>
      <c r="H55" s="18"/>
    </row>
    <row r="56" spans="1:8">
      <c r="A56" s="18"/>
      <c r="B56" s="18"/>
      <c r="C56" s="18"/>
      <c r="D56" s="18"/>
      <c r="E56" s="18"/>
      <c r="F56" s="18"/>
      <c r="G56" s="18"/>
      <c r="H56" s="18"/>
    </row>
    <row r="57" spans="1:8">
      <c r="A57" s="18"/>
      <c r="B57" s="18"/>
      <c r="C57" s="18"/>
      <c r="D57" s="18"/>
      <c r="E57" s="18"/>
      <c r="F57" s="18"/>
      <c r="G57" s="18"/>
      <c r="H57" s="18"/>
    </row>
    <row r="58" spans="1:8">
      <c r="A58" s="18"/>
      <c r="B58" s="18"/>
      <c r="C58" s="18"/>
      <c r="D58" s="18"/>
      <c r="E58" s="18"/>
      <c r="F58" s="18"/>
      <c r="G58" s="18"/>
      <c r="H58" s="18"/>
    </row>
    <row r="59" spans="1:8">
      <c r="A59" s="18"/>
      <c r="B59" s="18"/>
      <c r="C59" s="18"/>
      <c r="D59" s="18"/>
      <c r="E59" s="18"/>
      <c r="F59" s="18"/>
      <c r="G59" s="18"/>
      <c r="H59" s="18"/>
    </row>
    <row r="60" spans="1:8">
      <c r="A60" s="18"/>
      <c r="B60" s="18"/>
      <c r="C60" s="18"/>
      <c r="D60" s="18"/>
      <c r="E60" s="18"/>
      <c r="F60" s="18"/>
      <c r="G60" s="18"/>
      <c r="H60" s="18"/>
    </row>
    <row r="61" spans="1:8">
      <c r="A61" s="18"/>
      <c r="B61" s="18"/>
      <c r="C61" s="18"/>
      <c r="D61" s="18"/>
      <c r="E61" s="18"/>
      <c r="F61" s="18"/>
      <c r="G61" s="18"/>
      <c r="H61" s="18"/>
    </row>
    <row r="62" spans="1:8">
      <c r="A62" s="18"/>
      <c r="B62" s="18"/>
      <c r="C62" s="18"/>
      <c r="D62" s="18"/>
      <c r="E62" s="18"/>
      <c r="F62" s="18"/>
      <c r="G62" s="18"/>
      <c r="H62" s="18"/>
    </row>
    <row r="63" spans="1:8">
      <c r="A63" s="18"/>
      <c r="B63" s="18"/>
      <c r="C63" s="18"/>
      <c r="D63" s="18"/>
      <c r="E63" s="18"/>
      <c r="F63" s="18"/>
      <c r="G63" s="18"/>
      <c r="H63" s="18"/>
    </row>
    <row r="64" spans="1:8">
      <c r="A64" s="18"/>
      <c r="B64" s="18"/>
      <c r="C64" s="18"/>
      <c r="D64" s="18"/>
      <c r="E64" s="18"/>
      <c r="F64" s="18"/>
      <c r="G64" s="18"/>
      <c r="H64" s="18"/>
    </row>
    <row r="65" spans="1:8">
      <c r="A65" s="18"/>
      <c r="B65" s="18"/>
      <c r="C65" s="18"/>
      <c r="D65" s="18"/>
      <c r="E65" s="18"/>
      <c r="F65" s="18"/>
      <c r="G65" s="18"/>
      <c r="H65" s="18"/>
    </row>
    <row r="66" spans="1:8">
      <c r="A66" s="18"/>
      <c r="B66" s="18"/>
      <c r="C66" s="18"/>
      <c r="D66" s="18"/>
      <c r="E66" s="18"/>
      <c r="F66" s="18"/>
      <c r="G66" s="18"/>
      <c r="H66" s="18"/>
    </row>
    <row r="67" spans="1:8">
      <c r="A67" s="18"/>
      <c r="B67" s="18"/>
      <c r="C67" s="18"/>
      <c r="D67" s="18"/>
      <c r="E67" s="18"/>
      <c r="F67" s="18"/>
      <c r="G67" s="18"/>
      <c r="H67" s="18"/>
    </row>
    <row r="68" spans="1:8">
      <c r="A68" s="18"/>
      <c r="B68" s="18"/>
      <c r="C68" s="18"/>
      <c r="D68" s="18"/>
      <c r="E68" s="18"/>
      <c r="F68" s="18"/>
      <c r="G68" s="18"/>
      <c r="H68" s="18"/>
    </row>
    <row r="69" spans="1:8">
      <c r="A69" s="18"/>
      <c r="B69" s="18"/>
      <c r="C69" s="18"/>
      <c r="D69" s="18"/>
      <c r="E69" s="18"/>
      <c r="F69" s="18"/>
      <c r="G69" s="18"/>
      <c r="H69" s="18"/>
    </row>
    <row r="70" spans="1:8">
      <c r="A70" s="18"/>
      <c r="B70" s="18"/>
      <c r="C70" s="18"/>
      <c r="D70" s="18"/>
      <c r="E70" s="18"/>
      <c r="F70" s="18"/>
      <c r="G70" s="18"/>
      <c r="H70" s="18"/>
    </row>
  </sheetData>
  <sheetProtection sheet="1" objects="1" scenarios="1"/>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K36"/>
  <sheetViews>
    <sheetView workbookViewId="0">
      <selection activeCell="B12" sqref="B12"/>
    </sheetView>
  </sheetViews>
  <sheetFormatPr defaultColWidth="9.109375" defaultRowHeight="12.55"/>
  <cols>
    <col min="1" max="1" width="25.109375" style="27" customWidth="1"/>
    <col min="2" max="2" width="11.44140625" style="28" customWidth="1"/>
    <col min="3" max="3" width="13" style="28" customWidth="1"/>
    <col min="4" max="4" width="16.109375" style="28" customWidth="1"/>
    <col min="5" max="5" width="8.21875" style="29" customWidth="1"/>
    <col min="6" max="6" width="6" style="29" customWidth="1"/>
    <col min="7" max="16384" width="9.109375" style="29"/>
  </cols>
  <sheetData>
    <row r="1" spans="1:4" ht="20.05" customHeight="1">
      <c r="A1" s="30" t="s">
        <v>203</v>
      </c>
    </row>
    <row r="2" spans="1:4" ht="13.15">
      <c r="A2" s="369" t="s">
        <v>210</v>
      </c>
      <c r="B2" s="368" t="s">
        <v>284</v>
      </c>
      <c r="D2" s="29"/>
    </row>
    <row r="3" spans="1:4" ht="13.15">
      <c r="A3" s="370" t="s">
        <v>211</v>
      </c>
      <c r="B3" s="368" t="s">
        <v>283</v>
      </c>
      <c r="D3" s="29"/>
    </row>
    <row r="4" spans="1:4" ht="13.15">
      <c r="A4" s="371" t="s">
        <v>209</v>
      </c>
      <c r="B4" s="368" t="s">
        <v>285</v>
      </c>
      <c r="D4" s="29"/>
    </row>
    <row r="5" spans="1:4" ht="13.8" thickBot="1">
      <c r="A5" s="30"/>
    </row>
    <row r="6" spans="1:4" ht="20.05" customHeight="1" thickBot="1">
      <c r="A6" s="146"/>
      <c r="B6" s="192" t="s">
        <v>79</v>
      </c>
      <c r="C6" s="161" t="s">
        <v>80</v>
      </c>
      <c r="D6" s="192" t="s">
        <v>81</v>
      </c>
    </row>
    <row r="7" spans="1:4" ht="20.05" customHeight="1">
      <c r="A7" s="150" t="s">
        <v>213</v>
      </c>
      <c r="B7" s="197">
        <v>1489.9</v>
      </c>
      <c r="C7" s="198">
        <v>86.98</v>
      </c>
      <c r="D7" s="199">
        <f t="shared" ref="D7:D12" si="0">B7*C7</f>
        <v>129591.50200000001</v>
      </c>
    </row>
    <row r="8" spans="1:4" ht="20.05" customHeight="1">
      <c r="A8" s="150" t="s">
        <v>78</v>
      </c>
      <c r="B8" s="195">
        <f>D20</f>
        <v>160</v>
      </c>
      <c r="C8" s="191">
        <v>80.5</v>
      </c>
      <c r="D8" s="200">
        <f t="shared" si="0"/>
        <v>12880</v>
      </c>
    </row>
    <row r="9" spans="1:4" ht="20.05" customHeight="1">
      <c r="A9" s="150" t="s">
        <v>109</v>
      </c>
      <c r="B9" s="195">
        <f>D21</f>
        <v>15</v>
      </c>
      <c r="C9" s="191">
        <v>118.1</v>
      </c>
      <c r="D9" s="200">
        <f t="shared" si="0"/>
        <v>1771.5</v>
      </c>
    </row>
    <row r="10" spans="1:4" ht="20.05" customHeight="1" thickBot="1">
      <c r="A10" s="150" t="s">
        <v>110</v>
      </c>
      <c r="B10" s="208">
        <v>50</v>
      </c>
      <c r="C10" s="209">
        <v>142.80000000000001</v>
      </c>
      <c r="D10" s="210">
        <f t="shared" si="0"/>
        <v>7140.0000000000009</v>
      </c>
    </row>
    <row r="11" spans="1:4" ht="20.05" customHeight="1">
      <c r="A11" s="146" t="s">
        <v>208</v>
      </c>
      <c r="B11" s="214">
        <f>SUM(B7:B10)</f>
        <v>1714.9</v>
      </c>
      <c r="C11" s="215">
        <f>D11/B11</f>
        <v>88.275119248935795</v>
      </c>
      <c r="D11" s="199">
        <f>SUM(D7:D10)</f>
        <v>151383.00200000001</v>
      </c>
    </row>
    <row r="12" spans="1:4" ht="20.05" customHeight="1" thickBot="1">
      <c r="A12" s="148" t="s">
        <v>279</v>
      </c>
      <c r="B12" s="201">
        <f>D17</f>
        <v>288</v>
      </c>
      <c r="C12" s="216">
        <v>95</v>
      </c>
      <c r="D12" s="217">
        <f t="shared" si="0"/>
        <v>27360</v>
      </c>
    </row>
    <row r="13" spans="1:4" ht="20.05" customHeight="1">
      <c r="A13" s="150" t="s">
        <v>207</v>
      </c>
      <c r="B13" s="211">
        <f>SUM(B11:B12)</f>
        <v>2002.9</v>
      </c>
      <c r="C13" s="212">
        <f>D13/B13</f>
        <v>89.242099955065157</v>
      </c>
      <c r="D13" s="213">
        <f>SUM(D11:D12)</f>
        <v>178743.00200000001</v>
      </c>
    </row>
    <row r="14" spans="1:4" ht="20.05" customHeight="1" thickBot="1">
      <c r="A14" s="148" t="s">
        <v>133</v>
      </c>
      <c r="B14" s="201">
        <f>100*B13/C25</f>
        <v>86.14623655913978</v>
      </c>
      <c r="C14" s="202"/>
      <c r="D14" s="203"/>
    </row>
    <row r="15" spans="1:4" ht="20.05" customHeight="1" thickBot="1">
      <c r="A15" s="30"/>
      <c r="B15" s="40"/>
    </row>
    <row r="16" spans="1:4" ht="13.8" thickBot="1">
      <c r="A16" s="164"/>
      <c r="B16" s="171" t="s">
        <v>83</v>
      </c>
      <c r="C16" s="173" t="s">
        <v>214</v>
      </c>
      <c r="D16" s="172" t="s">
        <v>84</v>
      </c>
    </row>
    <row r="17" spans="1:11" ht="13.8" thickBot="1">
      <c r="A17" s="165" t="s">
        <v>82</v>
      </c>
      <c r="B17" s="167">
        <v>50</v>
      </c>
      <c r="C17" s="196">
        <v>2</v>
      </c>
      <c r="D17" s="168">
        <f>IF(AND(B17 &gt; 0,B17&lt;=50),(B17-C17)*6, 0)</f>
        <v>288</v>
      </c>
    </row>
    <row r="18" spans="1:11" ht="13.15" thickBot="1"/>
    <row r="19" spans="1:11" ht="13.8" thickBot="1">
      <c r="B19" s="194" t="s">
        <v>204</v>
      </c>
      <c r="C19" s="194" t="s">
        <v>205</v>
      </c>
      <c r="D19" s="147" t="s">
        <v>206</v>
      </c>
      <c r="I19" s="29" t="s">
        <v>101</v>
      </c>
    </row>
    <row r="20" spans="1:11" ht="16.3" thickBot="1">
      <c r="A20" s="165" t="s">
        <v>276</v>
      </c>
      <c r="B20" s="249">
        <v>150</v>
      </c>
      <c r="C20" s="247">
        <v>10</v>
      </c>
      <c r="D20" s="193">
        <f>B20+C20</f>
        <v>160</v>
      </c>
      <c r="I20" s="29" t="s">
        <v>102</v>
      </c>
    </row>
    <row r="21" spans="1:11" ht="16.3" thickBot="1">
      <c r="A21" s="165" t="s">
        <v>277</v>
      </c>
      <c r="B21" s="246">
        <v>15</v>
      </c>
      <c r="C21" s="248">
        <v>0</v>
      </c>
      <c r="D21" s="166">
        <f>B21+C21</f>
        <v>15</v>
      </c>
      <c r="I21" s="186" t="s">
        <v>202</v>
      </c>
      <c r="J21" s="187"/>
      <c r="K21" s="188"/>
    </row>
    <row r="22" spans="1:11" ht="13.8" thickBot="1">
      <c r="I22" s="180" t="s">
        <v>200</v>
      </c>
      <c r="J22" s="181" t="s">
        <v>55</v>
      </c>
      <c r="K22" s="190"/>
    </row>
    <row r="23" spans="1:11" ht="15.65">
      <c r="A23" s="38" t="s">
        <v>111</v>
      </c>
      <c r="I23" s="204">
        <v>83</v>
      </c>
      <c r="J23" s="205">
        <v>1400</v>
      </c>
      <c r="K23" s="176"/>
    </row>
    <row r="24" spans="1:11" ht="16.3" thickBot="1">
      <c r="A24" s="38" t="s">
        <v>113</v>
      </c>
      <c r="I24" s="204">
        <v>83</v>
      </c>
      <c r="J24" s="205">
        <v>1950</v>
      </c>
      <c r="K24" s="176"/>
    </row>
    <row r="25" spans="1:11" ht="16.3" thickBot="1">
      <c r="A25" s="38" t="s">
        <v>132</v>
      </c>
      <c r="C25" s="189">
        <v>2325</v>
      </c>
      <c r="I25" s="204">
        <v>87</v>
      </c>
      <c r="J25" s="205">
        <v>2325</v>
      </c>
      <c r="K25" s="176"/>
    </row>
    <row r="26" spans="1:11" ht="15.65">
      <c r="A26" s="38" t="s">
        <v>212</v>
      </c>
      <c r="C26" s="218"/>
      <c r="I26" s="204">
        <v>93</v>
      </c>
      <c r="J26" s="205">
        <v>2325</v>
      </c>
      <c r="K26" s="176"/>
    </row>
    <row r="27" spans="1:11" ht="15.65">
      <c r="A27" s="30" t="s">
        <v>278</v>
      </c>
      <c r="I27" s="204">
        <v>93</v>
      </c>
      <c r="J27" s="205">
        <v>1400</v>
      </c>
      <c r="K27" s="176"/>
    </row>
    <row r="28" spans="1:11">
      <c r="A28" s="29"/>
      <c r="B28" s="29"/>
      <c r="I28" s="204">
        <v>83.75</v>
      </c>
      <c r="J28" s="205">
        <v>2020</v>
      </c>
      <c r="K28" s="176" t="s">
        <v>201</v>
      </c>
    </row>
    <row r="29" spans="1:11" ht="13.15" thickBot="1">
      <c r="A29" s="29"/>
      <c r="B29" s="29"/>
      <c r="I29" s="206">
        <v>93</v>
      </c>
      <c r="J29" s="207">
        <v>2020</v>
      </c>
      <c r="K29" s="179" t="s">
        <v>201</v>
      </c>
    </row>
    <row r="30" spans="1:11">
      <c r="A30" s="29"/>
      <c r="B30" s="29">
        <f>(((B17*6)*C12)+D11)/((B17*6)+B11)</f>
        <v>89.276391880490351</v>
      </c>
    </row>
    <row r="34" spans="8:9">
      <c r="H34" s="144"/>
      <c r="I34" s="144"/>
    </row>
    <row r="35" spans="8:9">
      <c r="H35" s="144"/>
      <c r="I35" s="144"/>
    </row>
    <row r="36" spans="8:9">
      <c r="H36" s="144"/>
      <c r="I36" s="144"/>
    </row>
  </sheetData>
  <sheetProtection sheet="1" objects="1" scenarios="1"/>
  <phoneticPr fontId="0" type="noConversion"/>
  <pageMargins left="0.75" right="0.75" top="1" bottom="1" header="0.5" footer="0.5"/>
  <pageSetup orientation="portrait" r:id="rId1"/>
  <headerFooter alignWithMargins="0"/>
  <ignoredErrors>
    <ignoredError sqref="C11:D11 C13" formula="1"/>
  </ignoredErrors>
  <drawing r:id="rId2"/>
</worksheet>
</file>

<file path=xl/worksheets/sheet5.xml><?xml version="1.0" encoding="utf-8"?>
<worksheet xmlns="http://schemas.openxmlformats.org/spreadsheetml/2006/main" xmlns:r="http://schemas.openxmlformats.org/officeDocument/2006/relationships">
  <dimension ref="A1:I34"/>
  <sheetViews>
    <sheetView workbookViewId="0">
      <selection activeCell="E22" sqref="E22:E23"/>
    </sheetView>
  </sheetViews>
  <sheetFormatPr defaultColWidth="9.109375" defaultRowHeight="12.55"/>
  <cols>
    <col min="1" max="1" width="25.109375" style="27" customWidth="1"/>
    <col min="2" max="2" width="11.44140625" style="28" customWidth="1"/>
    <col min="3" max="3" width="13" style="28" customWidth="1"/>
    <col min="4" max="4" width="16.109375" style="28" customWidth="1"/>
    <col min="5" max="5" width="8.21875" style="29" customWidth="1"/>
    <col min="6" max="6" width="6" style="29" customWidth="1"/>
    <col min="7" max="16384" width="9.109375" style="29"/>
  </cols>
  <sheetData>
    <row r="1" spans="1:5" ht="20.05" customHeight="1" thickBot="1">
      <c r="A1" s="30" t="s">
        <v>194</v>
      </c>
    </row>
    <row r="2" spans="1:5" ht="20.05" customHeight="1" thickBot="1">
      <c r="A2" s="158"/>
      <c r="B2" s="161" t="s">
        <v>79</v>
      </c>
      <c r="C2" s="162" t="s">
        <v>80</v>
      </c>
      <c r="D2" s="163" t="s">
        <v>81</v>
      </c>
    </row>
    <row r="3" spans="1:5" ht="20.05" customHeight="1">
      <c r="A3" s="159" t="s">
        <v>77</v>
      </c>
      <c r="B3" s="151">
        <v>1504</v>
      </c>
      <c r="C3" s="151">
        <v>86.7</v>
      </c>
      <c r="D3" s="152">
        <f t="shared" ref="D3:D8" si="0">B3*C3</f>
        <v>130396.8</v>
      </c>
    </row>
    <row r="4" spans="1:5" ht="20.05" customHeight="1">
      <c r="A4" s="159" t="s">
        <v>197</v>
      </c>
      <c r="B4" s="151">
        <f>C16</f>
        <v>12.25</v>
      </c>
      <c r="C4" s="151">
        <v>27.5</v>
      </c>
      <c r="D4" s="152">
        <f t="shared" si="0"/>
        <v>336.875</v>
      </c>
    </row>
    <row r="5" spans="1:5" ht="20.05" customHeight="1">
      <c r="A5" s="159" t="s">
        <v>78</v>
      </c>
      <c r="B5" s="157">
        <f>230+290</f>
        <v>520</v>
      </c>
      <c r="C5" s="153">
        <v>80.5</v>
      </c>
      <c r="D5" s="152">
        <f t="shared" si="0"/>
        <v>41860</v>
      </c>
    </row>
    <row r="6" spans="1:5" ht="20.05" customHeight="1">
      <c r="A6" s="159" t="s">
        <v>109</v>
      </c>
      <c r="B6" s="157">
        <v>0</v>
      </c>
      <c r="C6" s="153">
        <v>118.1</v>
      </c>
      <c r="D6" s="152">
        <f t="shared" si="0"/>
        <v>0</v>
      </c>
    </row>
    <row r="7" spans="1:5" ht="20.05" customHeight="1">
      <c r="A7" s="159" t="s">
        <v>110</v>
      </c>
      <c r="B7" s="157">
        <v>0</v>
      </c>
      <c r="C7" s="153">
        <v>142.80000000000001</v>
      </c>
      <c r="D7" s="152">
        <f t="shared" si="0"/>
        <v>0</v>
      </c>
    </row>
    <row r="8" spans="1:5" ht="20.05" customHeight="1">
      <c r="A8" s="159" t="s">
        <v>112</v>
      </c>
      <c r="B8" s="145">
        <f>C13</f>
        <v>300</v>
      </c>
      <c r="C8" s="153">
        <v>95</v>
      </c>
      <c r="D8" s="152">
        <f t="shared" si="0"/>
        <v>28500</v>
      </c>
    </row>
    <row r="9" spans="1:5" ht="20.05" customHeight="1">
      <c r="A9" s="159" t="s">
        <v>114</v>
      </c>
      <c r="B9" s="154">
        <f>SUM(B3:B8)</f>
        <v>2336.25</v>
      </c>
      <c r="C9" s="154">
        <f>D9/B9</f>
        <v>86.075409309791326</v>
      </c>
      <c r="D9" s="152">
        <f>SUM(D3:D8)</f>
        <v>201093.67499999999</v>
      </c>
    </row>
    <row r="10" spans="1:5" ht="20.05" customHeight="1" thickBot="1">
      <c r="A10" s="160" t="s">
        <v>133</v>
      </c>
      <c r="B10" s="149">
        <f>100*B9/C22</f>
        <v>95.357142857142861</v>
      </c>
      <c r="C10" s="155"/>
      <c r="D10" s="156"/>
    </row>
    <row r="11" spans="1:5" ht="20.05" customHeight="1" thickBot="1">
      <c r="A11" s="30"/>
      <c r="B11" s="40"/>
    </row>
    <row r="12" spans="1:5" ht="13.8" thickBot="1">
      <c r="A12" s="164"/>
      <c r="B12" s="171" t="s">
        <v>83</v>
      </c>
      <c r="C12" s="172" t="s">
        <v>84</v>
      </c>
      <c r="D12" s="172" t="s">
        <v>129</v>
      </c>
      <c r="E12" s="173" t="s">
        <v>18</v>
      </c>
    </row>
    <row r="13" spans="1:5" ht="13.8" thickBot="1">
      <c r="A13" s="165" t="s">
        <v>82</v>
      </c>
      <c r="B13" s="167">
        <v>50</v>
      </c>
      <c r="C13" s="168">
        <f>IF(AND(B13 &gt; 0,B13&lt;=50),B13*6,0)</f>
        <v>300</v>
      </c>
      <c r="D13" s="169">
        <v>2</v>
      </c>
      <c r="E13" s="170">
        <v>9</v>
      </c>
    </row>
    <row r="14" spans="1:5" ht="13.15" thickBot="1"/>
    <row r="15" spans="1:5" ht="13.8" thickBot="1">
      <c r="A15" s="164"/>
      <c r="B15" s="171" t="s">
        <v>196</v>
      </c>
      <c r="C15" s="173" t="s">
        <v>84</v>
      </c>
    </row>
    <row r="16" spans="1:5" ht="13.8" thickBot="1">
      <c r="A16" s="165" t="s">
        <v>195</v>
      </c>
      <c r="B16" s="174">
        <v>7</v>
      </c>
      <c r="C16" s="175">
        <f>B16*1.75</f>
        <v>12.25</v>
      </c>
    </row>
    <row r="19" spans="1:9">
      <c r="F19" s="29" t="s">
        <v>199</v>
      </c>
    </row>
    <row r="20" spans="1:9" ht="15.65">
      <c r="A20" s="38" t="s">
        <v>111</v>
      </c>
      <c r="F20" s="29" t="s">
        <v>198</v>
      </c>
    </row>
    <row r="21" spans="1:9" ht="16.3" thickBot="1">
      <c r="A21" s="38" t="s">
        <v>113</v>
      </c>
    </row>
    <row r="22" spans="1:9" ht="16.3" thickBot="1">
      <c r="A22" s="38" t="s">
        <v>132</v>
      </c>
      <c r="C22" s="189">
        <v>2450</v>
      </c>
      <c r="G22" s="186" t="s">
        <v>202</v>
      </c>
      <c r="H22" s="187"/>
      <c r="I22" s="188"/>
    </row>
    <row r="23" spans="1:9" ht="13.8" thickBot="1">
      <c r="G23" s="184" t="s">
        <v>200</v>
      </c>
      <c r="H23" s="185" t="s">
        <v>55</v>
      </c>
      <c r="I23" s="176"/>
    </row>
    <row r="24" spans="1:9">
      <c r="G24" s="177">
        <v>82</v>
      </c>
      <c r="H24" s="182">
        <v>1400</v>
      </c>
      <c r="I24" s="176"/>
    </row>
    <row r="25" spans="1:9">
      <c r="G25" s="177">
        <v>82</v>
      </c>
      <c r="H25" s="182">
        <v>2150</v>
      </c>
      <c r="I25" s="176"/>
    </row>
    <row r="26" spans="1:9">
      <c r="G26" s="177">
        <v>87.4</v>
      </c>
      <c r="H26" s="182">
        <v>2450</v>
      </c>
      <c r="I26" s="176"/>
    </row>
    <row r="27" spans="1:9">
      <c r="G27" s="177">
        <v>93</v>
      </c>
      <c r="H27" s="182">
        <v>2450</v>
      </c>
      <c r="I27" s="176"/>
    </row>
    <row r="28" spans="1:9">
      <c r="G28" s="177">
        <v>93</v>
      </c>
      <c r="H28" s="182">
        <v>1400</v>
      </c>
      <c r="I28" s="176"/>
    </row>
    <row r="29" spans="1:9">
      <c r="G29" s="177">
        <v>82</v>
      </c>
      <c r="H29" s="182">
        <v>1950</v>
      </c>
      <c r="I29" s="176" t="s">
        <v>201</v>
      </c>
    </row>
    <row r="30" spans="1:9">
      <c r="G30" s="177">
        <v>86.5</v>
      </c>
      <c r="H30" s="182">
        <v>1950</v>
      </c>
      <c r="I30" s="176" t="s">
        <v>201</v>
      </c>
    </row>
    <row r="31" spans="1:9" ht="13.15" thickBot="1">
      <c r="G31" s="178">
        <v>86.5</v>
      </c>
      <c r="H31" s="183">
        <v>1400</v>
      </c>
      <c r="I31" s="179" t="s">
        <v>201</v>
      </c>
    </row>
    <row r="32" spans="1:9">
      <c r="H32" s="144"/>
      <c r="I32" s="144"/>
    </row>
    <row r="33" spans="8:9">
      <c r="H33" s="144"/>
      <c r="I33" s="144"/>
    </row>
    <row r="34" spans="8:9">
      <c r="H34" s="144"/>
      <c r="I34" s="144"/>
    </row>
  </sheetData>
  <sheetProtection sheet="1" objects="1" scenarios="1"/>
  <phoneticPr fontId="0"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dimension ref="A1:C72"/>
  <sheetViews>
    <sheetView zoomScaleNormal="100" workbookViewId="0">
      <selection activeCell="A8" sqref="A8"/>
    </sheetView>
  </sheetViews>
  <sheetFormatPr defaultRowHeight="12.55"/>
  <cols>
    <col min="1" max="1" width="14.109375" style="31" customWidth="1"/>
    <col min="2" max="2" width="11.5546875" style="32" customWidth="1"/>
  </cols>
  <sheetData>
    <row r="1" spans="1:2">
      <c r="A1" s="31" t="s">
        <v>103</v>
      </c>
    </row>
    <row r="3" spans="1:2">
      <c r="A3" s="34" t="s">
        <v>79</v>
      </c>
      <c r="B3" s="33" t="s">
        <v>104</v>
      </c>
    </row>
    <row r="4" spans="1:2">
      <c r="A4" s="141">
        <v>2325</v>
      </c>
      <c r="B4" s="142">
        <v>111</v>
      </c>
    </row>
    <row r="5" spans="1:2">
      <c r="A5" s="141">
        <v>1531</v>
      </c>
      <c r="B5" s="142">
        <v>88</v>
      </c>
    </row>
    <row r="7" spans="1:2">
      <c r="A7" s="31" t="s">
        <v>108</v>
      </c>
    </row>
    <row r="8" spans="1:2">
      <c r="A8" s="36">
        <f>'W&amp;B 161'!B13</f>
        <v>2002.9</v>
      </c>
      <c r="B8" s="36">
        <f>B12*A8 + B13</f>
        <v>101.66964735516373</v>
      </c>
    </row>
    <row r="11" spans="1:2">
      <c r="A11" t="s">
        <v>105</v>
      </c>
    </row>
    <row r="12" spans="1:2">
      <c r="A12" t="s">
        <v>119</v>
      </c>
      <c r="B12" s="39">
        <f>(B4-B5)/(A4-A5)</f>
        <v>2.8967254408060455E-2</v>
      </c>
    </row>
    <row r="13" spans="1:2">
      <c r="A13" t="s">
        <v>117</v>
      </c>
      <c r="B13" s="39">
        <f>B5-(B12*A5)</f>
        <v>43.651133501259444</v>
      </c>
    </row>
    <row r="21" spans="1:3">
      <c r="A21" s="62" t="s">
        <v>108</v>
      </c>
      <c r="B21" s="144" t="s">
        <v>104</v>
      </c>
      <c r="C21" s="29"/>
    </row>
    <row r="22" spans="1:3">
      <c r="A22" s="229">
        <v>2325</v>
      </c>
      <c r="B22" s="229">
        <f>B$4*SQRT(A22/$A$4)</f>
        <v>111</v>
      </c>
    </row>
    <row r="23" spans="1:3">
      <c r="A23" s="229">
        <v>2225</v>
      </c>
      <c r="B23" s="229">
        <f t="shared" ref="B23:B30" si="0">B$4*SQRT(A23/$A$4)</f>
        <v>108.58666822464455</v>
      </c>
    </row>
    <row r="24" spans="1:3">
      <c r="A24" s="229">
        <v>2125</v>
      </c>
      <c r="B24" s="229">
        <f t="shared" si="0"/>
        <v>106.11846697091919</v>
      </c>
    </row>
    <row r="25" spans="1:3">
      <c r="A25" s="229">
        <v>2025</v>
      </c>
      <c r="B25" s="229">
        <f t="shared" si="0"/>
        <v>103.59147430356948</v>
      </c>
    </row>
    <row r="26" spans="1:3">
      <c r="A26" s="229">
        <v>1925</v>
      </c>
      <c r="B26" s="229">
        <f t="shared" si="0"/>
        <v>101.00127753902981</v>
      </c>
    </row>
    <row r="27" spans="1:3">
      <c r="A27" s="229">
        <v>1825</v>
      </c>
      <c r="B27" s="229">
        <f t="shared" si="0"/>
        <v>98.34288271474027</v>
      </c>
    </row>
    <row r="28" spans="1:3">
      <c r="A28" s="229">
        <v>1725</v>
      </c>
      <c r="B28" s="229">
        <f t="shared" si="0"/>
        <v>95.610601382766092</v>
      </c>
    </row>
    <row r="29" spans="1:3">
      <c r="A29" s="229">
        <v>1625</v>
      </c>
      <c r="B29" s="229">
        <f t="shared" si="0"/>
        <v>92.797907373513695</v>
      </c>
    </row>
    <row r="30" spans="1:3">
      <c r="A30" s="229">
        <v>1525</v>
      </c>
      <c r="B30" s="229">
        <f t="shared" si="0"/>
        <v>89.897253178460673</v>
      </c>
    </row>
    <row r="31" spans="1:3">
      <c r="A31" s="229"/>
      <c r="B31" s="229"/>
    </row>
    <row r="32" spans="1:3">
      <c r="A32" s="62" t="s">
        <v>108</v>
      </c>
      <c r="B32" s="144" t="s">
        <v>104</v>
      </c>
    </row>
    <row r="33" spans="1:2">
      <c r="A33" s="229">
        <v>1531</v>
      </c>
      <c r="B33" s="229">
        <f>B$5*SQRT(A33/$A$5)</f>
        <v>88</v>
      </c>
    </row>
    <row r="34" spans="1:2">
      <c r="A34" s="229">
        <v>1631</v>
      </c>
      <c r="B34" s="229">
        <f t="shared" ref="B34:B41" si="1">B$5*SQRT(A34/$A$5)</f>
        <v>90.828482283867615</v>
      </c>
    </row>
    <row r="35" spans="1:2">
      <c r="A35" s="229">
        <v>1731</v>
      </c>
      <c r="B35" s="229">
        <f t="shared" si="1"/>
        <v>93.571504145128017</v>
      </c>
    </row>
    <row r="36" spans="1:2">
      <c r="A36" s="229">
        <v>1831</v>
      </c>
      <c r="B36" s="229">
        <f t="shared" si="1"/>
        <v>96.236373487224498</v>
      </c>
    </row>
    <row r="37" spans="1:2">
      <c r="A37" s="229">
        <v>1931</v>
      </c>
      <c r="B37" s="229">
        <f t="shared" si="1"/>
        <v>98.829412504392764</v>
      </c>
    </row>
    <row r="38" spans="1:2">
      <c r="A38" s="229">
        <v>2031</v>
      </c>
      <c r="B38" s="229">
        <f t="shared" si="1"/>
        <v>101.3561343479233</v>
      </c>
    </row>
    <row r="39" spans="1:2">
      <c r="A39" s="229">
        <v>2131</v>
      </c>
      <c r="B39" s="229">
        <f t="shared" si="1"/>
        <v>103.82138105392904</v>
      </c>
    </row>
    <row r="40" spans="1:2">
      <c r="A40" s="229">
        <v>2231</v>
      </c>
      <c r="B40" s="229">
        <f t="shared" si="1"/>
        <v>106.22943263491521</v>
      </c>
    </row>
    <row r="41" spans="1:2">
      <c r="A41" s="229">
        <v>2331</v>
      </c>
      <c r="B41" s="229">
        <f t="shared" si="1"/>
        <v>108.58409437816776</v>
      </c>
    </row>
    <row r="42" spans="1:2">
      <c r="A42" s="229"/>
      <c r="B42" s="229"/>
    </row>
    <row r="43" spans="1:2">
      <c r="A43" s="229"/>
      <c r="B43" s="229"/>
    </row>
    <row r="44" spans="1:2">
      <c r="A44" s="229"/>
      <c r="B44" s="229"/>
    </row>
    <row r="45" spans="1:2">
      <c r="A45" s="229"/>
      <c r="B45" s="229"/>
    </row>
    <row r="46" spans="1:2">
      <c r="A46" s="229"/>
      <c r="B46" s="229"/>
    </row>
    <row r="47" spans="1:2">
      <c r="A47" s="229"/>
      <c r="B47" s="229"/>
    </row>
    <row r="48" spans="1:2">
      <c r="A48" s="229"/>
      <c r="B48" s="229"/>
    </row>
    <row r="49" spans="1:2">
      <c r="A49" s="229"/>
      <c r="B49" s="229"/>
    </row>
    <row r="50" spans="1:2">
      <c r="A50" s="229"/>
      <c r="B50" s="229"/>
    </row>
    <row r="51" spans="1:2">
      <c r="A51" s="229"/>
      <c r="B51" s="229"/>
    </row>
    <row r="52" spans="1:2">
      <c r="A52" s="229"/>
      <c r="B52" s="229"/>
    </row>
    <row r="53" spans="1:2">
      <c r="A53" s="229"/>
      <c r="B53" s="229"/>
    </row>
    <row r="54" spans="1:2">
      <c r="A54" s="32"/>
    </row>
    <row r="57" spans="1:2">
      <c r="A57" s="31" t="s">
        <v>223</v>
      </c>
    </row>
    <row r="59" spans="1:2" s="29" customFormat="1">
      <c r="A59" s="29" t="s">
        <v>215</v>
      </c>
      <c r="B59" s="144"/>
    </row>
    <row r="60" spans="1:2" s="29" customFormat="1">
      <c r="B60" s="144"/>
    </row>
    <row r="61" spans="1:2" s="29" customFormat="1">
      <c r="A61" s="29" t="s">
        <v>216</v>
      </c>
      <c r="B61" s="144"/>
    </row>
    <row r="62" spans="1:2" s="29" customFormat="1">
      <c r="A62" s="29" t="s">
        <v>217</v>
      </c>
      <c r="B62" s="144"/>
    </row>
    <row r="63" spans="1:2" s="29" customFormat="1">
      <c r="A63" s="29" t="s">
        <v>218</v>
      </c>
      <c r="B63" s="144"/>
    </row>
    <row r="64" spans="1:2" s="29" customFormat="1">
      <c r="B64" s="144"/>
    </row>
    <row r="65" spans="1:2" s="29" customFormat="1">
      <c r="B65" s="144"/>
    </row>
    <row r="66" spans="1:2" s="29" customFormat="1">
      <c r="A66" s="29" t="s">
        <v>219</v>
      </c>
      <c r="B66" s="144"/>
    </row>
    <row r="67" spans="1:2" s="29" customFormat="1">
      <c r="B67" s="144"/>
    </row>
    <row r="68" spans="1:2" s="29" customFormat="1">
      <c r="A68" s="29" t="s">
        <v>220</v>
      </c>
      <c r="B68" s="144"/>
    </row>
    <row r="69" spans="1:2" s="29" customFormat="1">
      <c r="B69" s="144"/>
    </row>
    <row r="70" spans="1:2" s="29" customFormat="1">
      <c r="A70" s="29" t="s">
        <v>221</v>
      </c>
      <c r="B70" s="144"/>
    </row>
    <row r="71" spans="1:2" s="29" customFormat="1">
      <c r="A71" s="29" t="s">
        <v>222</v>
      </c>
      <c r="B71" s="144"/>
    </row>
    <row r="72" spans="1:2" s="29" customFormat="1">
      <c r="A72" s="29" t="s">
        <v>224</v>
      </c>
      <c r="B72" s="144"/>
    </row>
  </sheetData>
  <sheetProtection sheet="1" objects="1" scenarios="1"/>
  <phoneticPr fontId="0" type="noConversion"/>
  <pageMargins left="0.75" right="0.75" top="1" bottom="1" header="0.5" footer="0.5"/>
  <pageSetup orientation="portrait" horizontalDpi="4294967293" verticalDpi="0" r:id="rId1"/>
  <headerFooter alignWithMargins="0"/>
  <drawing r:id="rId2"/>
</worksheet>
</file>

<file path=xl/worksheets/sheet7.xml><?xml version="1.0" encoding="utf-8"?>
<worksheet xmlns="http://schemas.openxmlformats.org/spreadsheetml/2006/main" xmlns:r="http://schemas.openxmlformats.org/officeDocument/2006/relationships">
  <dimension ref="A1:N49"/>
  <sheetViews>
    <sheetView topLeftCell="A24" workbookViewId="0">
      <selection activeCell="B36" sqref="B36"/>
    </sheetView>
  </sheetViews>
  <sheetFormatPr defaultRowHeight="12.55"/>
  <cols>
    <col min="1" max="1" width="14.109375" style="31" customWidth="1"/>
    <col min="2" max="2" width="11.5546875" style="32" customWidth="1"/>
    <col min="13" max="13" width="12.6640625" customWidth="1"/>
    <col min="14" max="14" width="12.33203125" customWidth="1"/>
  </cols>
  <sheetData>
    <row r="1" spans="1:14" ht="13.15">
      <c r="A1" s="48" t="s">
        <v>120</v>
      </c>
      <c r="M1" s="31" t="s">
        <v>140</v>
      </c>
      <c r="N1" s="32"/>
    </row>
    <row r="2" spans="1:14" ht="13.15">
      <c r="M2" s="48" t="s">
        <v>141</v>
      </c>
      <c r="N2" s="32"/>
    </row>
    <row r="3" spans="1:14" ht="13.15">
      <c r="A3" s="50" t="s">
        <v>79</v>
      </c>
      <c r="B3" s="35" t="s">
        <v>115</v>
      </c>
    </row>
    <row r="4" spans="1:14" ht="13.15">
      <c r="A4" s="141">
        <v>2325</v>
      </c>
      <c r="B4" s="142">
        <v>44</v>
      </c>
      <c r="M4" s="50" t="s">
        <v>79</v>
      </c>
      <c r="N4" s="35" t="s">
        <v>115</v>
      </c>
    </row>
    <row r="5" spans="1:14">
      <c r="A5" s="141">
        <v>1600</v>
      </c>
      <c r="B5" s="142">
        <v>37</v>
      </c>
      <c r="M5" s="34">
        <v>1500</v>
      </c>
      <c r="N5" s="33">
        <f>44*SQRT(((M5)/2325))</f>
        <v>35.341650471709947</v>
      </c>
    </row>
    <row r="6" spans="1:14">
      <c r="M6" s="34">
        <v>1600</v>
      </c>
      <c r="N6" s="33">
        <f t="shared" ref="N6:N15" si="0">44*SQRT(((M6)/2325))</f>
        <v>36.500699654510967</v>
      </c>
    </row>
    <row r="7" spans="1:14" ht="13.15">
      <c r="A7" s="48" t="s">
        <v>108</v>
      </c>
      <c r="M7" s="34">
        <v>1700</v>
      </c>
      <c r="N7" s="33">
        <f t="shared" si="0"/>
        <v>37.624060021123697</v>
      </c>
    </row>
    <row r="8" spans="1:14">
      <c r="A8" s="36" t="e">
        <f>#REF!</f>
        <v>#REF!</v>
      </c>
      <c r="B8" s="143" t="e">
        <f>B12*A8 + B13</f>
        <v>#REF!</v>
      </c>
      <c r="M8" s="34">
        <v>1800</v>
      </c>
      <c r="N8" s="33">
        <f t="shared" si="0"/>
        <v>38.71483836563727</v>
      </c>
    </row>
    <row r="9" spans="1:14">
      <c r="M9" s="34">
        <v>1900</v>
      </c>
      <c r="N9" s="33">
        <f t="shared" si="0"/>
        <v>39.775715290635823</v>
      </c>
    </row>
    <row r="10" spans="1:14">
      <c r="M10" s="34">
        <v>2000</v>
      </c>
      <c r="N10" s="33">
        <f t="shared" si="0"/>
        <v>40.809022826894811</v>
      </c>
    </row>
    <row r="11" spans="1:14">
      <c r="A11" t="s">
        <v>105</v>
      </c>
      <c r="M11" s="34">
        <v>2100</v>
      </c>
      <c r="N11" s="33">
        <f t="shared" si="0"/>
        <v>41.816804771411249</v>
      </c>
    </row>
    <row r="12" spans="1:14">
      <c r="A12" t="s">
        <v>116</v>
      </c>
      <c r="B12" s="39">
        <f>(B4-B5)/(A4-A5)</f>
        <v>9.655172413793104E-3</v>
      </c>
      <c r="M12" s="34">
        <v>2200</v>
      </c>
      <c r="N12" s="33">
        <f t="shared" si="0"/>
        <v>42.800864226024963</v>
      </c>
    </row>
    <row r="13" spans="1:14">
      <c r="A13" t="s">
        <v>117</v>
      </c>
      <c r="B13" s="39">
        <f>B5-(B12*A5)</f>
        <v>21.551724137931032</v>
      </c>
      <c r="M13" s="34">
        <v>2300</v>
      </c>
      <c r="N13" s="33">
        <f t="shared" si="0"/>
        <v>43.76280150651835</v>
      </c>
    </row>
    <row r="14" spans="1:14">
      <c r="M14" s="34">
        <v>2400</v>
      </c>
      <c r="N14" s="33">
        <f t="shared" si="0"/>
        <v>44.704044704067059</v>
      </c>
    </row>
    <row r="15" spans="1:14">
      <c r="M15" s="34">
        <v>2500</v>
      </c>
      <c r="N15" s="33">
        <f t="shared" si="0"/>
        <v>45.625874568138705</v>
      </c>
    </row>
    <row r="16" spans="1:14">
      <c r="M16" s="34"/>
      <c r="N16" s="33"/>
    </row>
    <row r="17" spans="1:14" ht="13.15">
      <c r="M17" s="50" t="s">
        <v>108</v>
      </c>
      <c r="N17" s="33"/>
    </row>
    <row r="18" spans="1:14">
      <c r="M18" s="49">
        <v>2325</v>
      </c>
      <c r="N18" s="33">
        <f>44*SQRT(((M18)/2325))</f>
        <v>44</v>
      </c>
    </row>
    <row r="19" spans="1:14">
      <c r="M19" s="34"/>
      <c r="N19" s="33"/>
    </row>
    <row r="20" spans="1:14">
      <c r="M20" s="31"/>
      <c r="N20" s="32"/>
    </row>
    <row r="21" spans="1:14">
      <c r="M21" s="31"/>
      <c r="N21" s="32"/>
    </row>
    <row r="22" spans="1:14">
      <c r="M22" s="31"/>
      <c r="N22" s="32"/>
    </row>
    <row r="23" spans="1:14">
      <c r="M23" s="31"/>
      <c r="N23" s="32"/>
    </row>
    <row r="24" spans="1:14">
      <c r="M24" s="31"/>
      <c r="N24" s="32"/>
    </row>
    <row r="25" spans="1:14">
      <c r="M25" s="31"/>
      <c r="N25" s="32"/>
    </row>
    <row r="26" spans="1:14">
      <c r="M26" s="31"/>
      <c r="N26" s="32"/>
    </row>
    <row r="27" spans="1:14">
      <c r="M27" s="31"/>
      <c r="N27" s="32"/>
    </row>
    <row r="28" spans="1:14">
      <c r="M28" s="31"/>
      <c r="N28" s="32"/>
    </row>
    <row r="29" spans="1:14" ht="13.15">
      <c r="A29" s="48" t="s">
        <v>121</v>
      </c>
      <c r="M29" s="31" t="s">
        <v>140</v>
      </c>
      <c r="N29" s="32"/>
    </row>
    <row r="30" spans="1:14" ht="13.15">
      <c r="M30" s="48" t="s">
        <v>142</v>
      </c>
      <c r="N30" s="32"/>
    </row>
    <row r="31" spans="1:14" ht="13.15">
      <c r="A31" s="50" t="s">
        <v>79</v>
      </c>
      <c r="B31" s="35" t="s">
        <v>122</v>
      </c>
    </row>
    <row r="32" spans="1:14" ht="13.15">
      <c r="A32" s="141">
        <v>2325</v>
      </c>
      <c r="B32" s="142">
        <v>50</v>
      </c>
      <c r="M32" s="50" t="s">
        <v>79</v>
      </c>
      <c r="N32" s="35" t="s">
        <v>115</v>
      </c>
    </row>
    <row r="33" spans="1:14">
      <c r="A33" s="141">
        <v>1600</v>
      </c>
      <c r="B33" s="142">
        <v>42</v>
      </c>
      <c r="M33" s="34">
        <v>1500</v>
      </c>
      <c r="N33" s="33">
        <f>50*SQRT(((M33)/2325))</f>
        <v>40.160966445124942</v>
      </c>
    </row>
    <row r="34" spans="1:14">
      <c r="M34" s="34">
        <v>1600</v>
      </c>
      <c r="N34" s="33">
        <f t="shared" ref="N34:N43" si="1">50*SQRT(((M34)/2325))</f>
        <v>41.478067789217008</v>
      </c>
    </row>
    <row r="35" spans="1:14" ht="13.15">
      <c r="A35" s="48" t="s">
        <v>108</v>
      </c>
      <c r="M35" s="34">
        <v>1700</v>
      </c>
      <c r="N35" s="33">
        <f t="shared" si="1"/>
        <v>42.754613660367838</v>
      </c>
    </row>
    <row r="36" spans="1:14">
      <c r="A36" s="36">
        <f>'W&amp;B 161'!B13</f>
        <v>2002.9</v>
      </c>
      <c r="B36" s="143">
        <f>B40*A36 + B41</f>
        <v>46.445793103448274</v>
      </c>
      <c r="M36" s="34">
        <v>1800</v>
      </c>
      <c r="N36" s="33">
        <f t="shared" si="1"/>
        <v>43.994134506405985</v>
      </c>
    </row>
    <row r="37" spans="1:14">
      <c r="M37" s="34">
        <v>1900</v>
      </c>
      <c r="N37" s="33">
        <f t="shared" si="1"/>
        <v>45.199676466631615</v>
      </c>
    </row>
    <row r="38" spans="1:14">
      <c r="M38" s="34">
        <v>2000</v>
      </c>
      <c r="N38" s="33">
        <f t="shared" si="1"/>
        <v>46.373889576016829</v>
      </c>
    </row>
    <row r="39" spans="1:14">
      <c r="A39" t="s">
        <v>105</v>
      </c>
      <c r="M39" s="34">
        <v>2100</v>
      </c>
      <c r="N39" s="33">
        <f t="shared" si="1"/>
        <v>47.519096331149143</v>
      </c>
    </row>
    <row r="40" spans="1:14">
      <c r="A40" t="s">
        <v>116</v>
      </c>
      <c r="B40" s="39">
        <f>(B32-B33)/(A32-A33)</f>
        <v>1.1034482758620689E-2</v>
      </c>
      <c r="M40" s="34">
        <v>2200</v>
      </c>
      <c r="N40" s="33">
        <f t="shared" si="1"/>
        <v>48.637345711392008</v>
      </c>
    </row>
    <row r="41" spans="1:14">
      <c r="A41" t="s">
        <v>117</v>
      </c>
      <c r="B41" s="39">
        <f>B33-(B40*A33)</f>
        <v>24.344827586206897</v>
      </c>
      <c r="M41" s="34">
        <v>2300</v>
      </c>
      <c r="N41" s="33">
        <f t="shared" si="1"/>
        <v>49.730456257407219</v>
      </c>
    </row>
    <row r="42" spans="1:14">
      <c r="M42" s="34">
        <v>2400</v>
      </c>
      <c r="N42" s="33">
        <f t="shared" si="1"/>
        <v>50.8000508000762</v>
      </c>
    </row>
    <row r="43" spans="1:14">
      <c r="M43" s="34">
        <v>2500</v>
      </c>
      <c r="N43" s="33">
        <f t="shared" si="1"/>
        <v>51.847584736521256</v>
      </c>
    </row>
    <row r="44" spans="1:14">
      <c r="M44" s="34"/>
      <c r="N44" s="33"/>
    </row>
    <row r="45" spans="1:14" ht="13.15">
      <c r="M45" s="50" t="s">
        <v>108</v>
      </c>
      <c r="N45" s="33"/>
    </row>
    <row r="46" spans="1:14">
      <c r="M46" s="49">
        <v>1850</v>
      </c>
      <c r="N46" s="33">
        <f>50*SQRT(((M46)/2325))</f>
        <v>44.600978821411047</v>
      </c>
    </row>
    <row r="47" spans="1:14">
      <c r="M47" s="34"/>
      <c r="N47" s="33"/>
    </row>
    <row r="48" spans="1:14">
      <c r="M48" s="34"/>
      <c r="N48" s="33"/>
    </row>
    <row r="49" spans="13:14">
      <c r="M49" s="31"/>
      <c r="N49" s="32"/>
    </row>
  </sheetData>
  <sheetProtection sheet="1" objects="1" scenarios="1"/>
  <phoneticPr fontId="0" type="noConversion"/>
  <pageMargins left="0.75" right="0.75" top="1" bottom="1" header="0.5" footer="0.5"/>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dimension ref="A1:F40"/>
  <sheetViews>
    <sheetView workbookViewId="0">
      <selection activeCell="M27" sqref="M27"/>
    </sheetView>
  </sheetViews>
  <sheetFormatPr defaultRowHeight="12.55"/>
  <cols>
    <col min="1" max="1" width="15.44140625" style="31" customWidth="1"/>
    <col min="2" max="2" width="11.6640625" style="32" customWidth="1"/>
    <col min="3" max="3" width="11.6640625" customWidth="1"/>
  </cols>
  <sheetData>
    <row r="1" spans="1:6" ht="13.15">
      <c r="A1" s="48" t="s">
        <v>161</v>
      </c>
    </row>
    <row r="2" spans="1:6" ht="13.15">
      <c r="A2" s="48"/>
    </row>
    <row r="3" spans="1:6">
      <c r="A3" s="55" t="s">
        <v>153</v>
      </c>
    </row>
    <row r="4" spans="1:6">
      <c r="A4" s="53" t="s">
        <v>154</v>
      </c>
    </row>
    <row r="5" spans="1:6">
      <c r="A5" s="56" t="s">
        <v>155</v>
      </c>
    </row>
    <row r="6" spans="1:6">
      <c r="A6" s="62"/>
    </row>
    <row r="7" spans="1:6" ht="15.05">
      <c r="A7" s="64" t="s">
        <v>156</v>
      </c>
      <c r="B7" s="63"/>
      <c r="C7" s="63"/>
      <c r="D7" s="63"/>
      <c r="E7" s="63"/>
      <c r="F7" s="63"/>
    </row>
    <row r="8" spans="1:6" ht="13.15">
      <c r="A8" s="62" t="s">
        <v>157</v>
      </c>
    </row>
    <row r="9" spans="1:6">
      <c r="A9" s="62" t="s">
        <v>159</v>
      </c>
    </row>
    <row r="10" spans="1:6">
      <c r="A10" s="62" t="s">
        <v>158</v>
      </c>
    </row>
    <row r="11" spans="1:6" ht="13.15">
      <c r="A11" s="62" t="s">
        <v>160</v>
      </c>
    </row>
    <row r="12" spans="1:6">
      <c r="A12" s="62"/>
    </row>
    <row r="13" spans="1:6">
      <c r="A13" s="62"/>
    </row>
    <row r="14" spans="1:6">
      <c r="A14" s="62"/>
    </row>
    <row r="15" spans="1:6" ht="13.15">
      <c r="A15" s="48" t="s">
        <v>145</v>
      </c>
      <c r="B15" s="57">
        <v>0</v>
      </c>
    </row>
    <row r="16" spans="1:6" ht="13.15">
      <c r="A16" s="48" t="s">
        <v>148</v>
      </c>
      <c r="B16" s="60">
        <v>17500</v>
      </c>
    </row>
    <row r="19" spans="1:3" ht="13.15">
      <c r="A19" s="48" t="s">
        <v>149</v>
      </c>
      <c r="B19" s="51" t="s">
        <v>145</v>
      </c>
      <c r="C19" s="52" t="s">
        <v>148</v>
      </c>
    </row>
    <row r="20" spans="1:3" ht="13.15">
      <c r="A20" s="48" t="s">
        <v>146</v>
      </c>
      <c r="B20" s="60">
        <v>63</v>
      </c>
      <c r="C20" s="61">
        <v>70</v>
      </c>
    </row>
    <row r="21" spans="1:3" ht="13.15">
      <c r="A21" s="48" t="s">
        <v>147</v>
      </c>
      <c r="B21" s="60">
        <v>79</v>
      </c>
      <c r="C21" s="61">
        <v>70</v>
      </c>
    </row>
    <row r="23" spans="1:3" ht="13.15">
      <c r="A23" s="48" t="s">
        <v>97</v>
      </c>
      <c r="B23" s="115">
        <v>5000</v>
      </c>
    </row>
    <row r="24" spans="1:3" ht="13.15">
      <c r="A24" s="48" t="s">
        <v>150</v>
      </c>
      <c r="B24" s="57">
        <f>B30*B23+B31</f>
        <v>65</v>
      </c>
    </row>
    <row r="25" spans="1:3" ht="13.15">
      <c r="A25" s="48" t="s">
        <v>151</v>
      </c>
      <c r="B25" s="57">
        <f>B23*B35+B36</f>
        <v>76.428571428571431</v>
      </c>
    </row>
    <row r="28" spans="1:3" ht="13.15">
      <c r="A28" s="48" t="s">
        <v>146</v>
      </c>
    </row>
    <row r="29" spans="1:3">
      <c r="A29" t="s">
        <v>152</v>
      </c>
    </row>
    <row r="30" spans="1:3">
      <c r="A30" t="s">
        <v>119</v>
      </c>
      <c r="B30" s="58">
        <f>(C20-B20)/(B16-B15)</f>
        <v>4.0000000000000002E-4</v>
      </c>
    </row>
    <row r="31" spans="1:3">
      <c r="A31" t="s">
        <v>117</v>
      </c>
      <c r="B31" s="58">
        <f>B20</f>
        <v>63</v>
      </c>
    </row>
    <row r="33" spans="1:2" ht="13.15">
      <c r="A33" s="48" t="s">
        <v>147</v>
      </c>
    </row>
    <row r="34" spans="1:2">
      <c r="A34" t="s">
        <v>152</v>
      </c>
    </row>
    <row r="35" spans="1:2">
      <c r="A35" t="s">
        <v>119</v>
      </c>
      <c r="B35" s="58">
        <f>(C21-B21)/(B16-B15)</f>
        <v>-5.142857142857143E-4</v>
      </c>
    </row>
    <row r="36" spans="1:2">
      <c r="A36" t="s">
        <v>117</v>
      </c>
      <c r="B36" s="57">
        <f>B21</f>
        <v>79</v>
      </c>
    </row>
    <row r="37" spans="1:2">
      <c r="B37" s="59"/>
    </row>
    <row r="40" spans="1:2">
      <c r="B40" s="54"/>
    </row>
  </sheetData>
  <sheetProtection sheet="1" objects="1" scenarios="1"/>
  <phoneticPr fontId="0" type="noConversion"/>
  <pageMargins left="0.75" right="0.75" top="1" bottom="1" header="0.5" footer="0.5"/>
  <headerFooter alignWithMargins="0"/>
  <drawing r:id="rId1"/>
</worksheet>
</file>

<file path=xl/worksheets/sheet9.xml><?xml version="1.0" encoding="utf-8"?>
<worksheet xmlns="http://schemas.openxmlformats.org/spreadsheetml/2006/main" xmlns:r="http://schemas.openxmlformats.org/officeDocument/2006/relationships">
  <dimension ref="A1:F81"/>
  <sheetViews>
    <sheetView workbookViewId="0">
      <selection activeCell="B10" sqref="B10"/>
    </sheetView>
  </sheetViews>
  <sheetFormatPr defaultRowHeight="12.55"/>
  <cols>
    <col min="1" max="1" width="14.109375" style="31" customWidth="1"/>
    <col min="2" max="2" width="11.5546875" style="32" customWidth="1"/>
  </cols>
  <sheetData>
    <row r="1" spans="1:6">
      <c r="A1" s="31" t="s">
        <v>163</v>
      </c>
    </row>
    <row r="3" spans="1:6">
      <c r="A3" s="242" t="s">
        <v>153</v>
      </c>
    </row>
    <row r="4" spans="1:6">
      <c r="A4" s="53" t="s">
        <v>154</v>
      </c>
    </row>
    <row r="5" spans="1:6">
      <c r="A5" s="56" t="s">
        <v>155</v>
      </c>
    </row>
    <row r="6" spans="1:6">
      <c r="A6" s="62"/>
    </row>
    <row r="7" spans="1:6" ht="15.05">
      <c r="A7" s="64" t="s">
        <v>156</v>
      </c>
      <c r="B7" s="63"/>
      <c r="C7" s="63"/>
      <c r="D7" s="63"/>
      <c r="E7" s="63"/>
      <c r="F7" s="63"/>
    </row>
    <row r="8" spans="1:6">
      <c r="A8" s="31" t="s">
        <v>164</v>
      </c>
    </row>
    <row r="10" spans="1:6">
      <c r="A10" s="238" t="s">
        <v>261</v>
      </c>
      <c r="B10" s="239">
        <v>160</v>
      </c>
    </row>
    <row r="11" spans="1:6">
      <c r="A11" s="240" t="s">
        <v>260</v>
      </c>
      <c r="B11" s="245">
        <v>0.79525000000000001</v>
      </c>
    </row>
    <row r="12" spans="1:6">
      <c r="A12" s="62"/>
    </row>
    <row r="13" spans="1:6">
      <c r="A13" s="232" t="s">
        <v>3</v>
      </c>
      <c r="B13" s="233" t="s">
        <v>162</v>
      </c>
    </row>
    <row r="14" spans="1:6">
      <c r="A14" s="234">
        <v>0</v>
      </c>
      <c r="B14" s="235">
        <v>706</v>
      </c>
    </row>
    <row r="15" spans="1:6">
      <c r="A15" s="236">
        <v>15347</v>
      </c>
      <c r="B15" s="237">
        <v>0</v>
      </c>
    </row>
    <row r="17" spans="1:2">
      <c r="A17" s="62" t="s">
        <v>264</v>
      </c>
      <c r="B17" s="116">
        <v>1965</v>
      </c>
    </row>
    <row r="18" spans="1:2">
      <c r="A18" s="62" t="s">
        <v>263</v>
      </c>
      <c r="B18" s="116">
        <v>5000</v>
      </c>
    </row>
    <row r="19" spans="1:2">
      <c r="A19" s="62" t="s">
        <v>262</v>
      </c>
      <c r="B19" s="243">
        <f>(((33000*(B10*B11)/B17)) - 1100)*((B22*B18/B23)+1)</f>
        <v>699.05116896307675</v>
      </c>
    </row>
    <row r="21" spans="1:2">
      <c r="A21" t="s">
        <v>105</v>
      </c>
    </row>
    <row r="22" spans="1:2">
      <c r="A22" t="s">
        <v>119</v>
      </c>
      <c r="B22" s="241">
        <f>(B14-B15)/(A14-A15)</f>
        <v>-4.6002476053951913E-2</v>
      </c>
    </row>
    <row r="23" spans="1:2">
      <c r="A23" t="s">
        <v>117</v>
      </c>
      <c r="B23" s="244">
        <f>B14</f>
        <v>706</v>
      </c>
    </row>
    <row r="35" spans="1:2">
      <c r="A35" s="31" t="s">
        <v>255</v>
      </c>
    </row>
    <row r="36" spans="1:2">
      <c r="A36" s="31" t="s">
        <v>256</v>
      </c>
    </row>
    <row r="37" spans="1:2">
      <c r="B37" s="32" t="s">
        <v>257</v>
      </c>
    </row>
    <row r="38" spans="1:2">
      <c r="B38" s="32" t="s">
        <v>258</v>
      </c>
    </row>
    <row r="39" spans="1:2">
      <c r="B39" s="32" t="s">
        <v>259</v>
      </c>
    </row>
    <row r="40" spans="1:2">
      <c r="B40" s="144" t="s">
        <v>265</v>
      </c>
    </row>
    <row r="41" spans="1:2">
      <c r="B41" s="144" t="s">
        <v>266</v>
      </c>
    </row>
    <row r="42" spans="1:2">
      <c r="B42" s="144" t="s">
        <v>267</v>
      </c>
    </row>
    <row r="43" spans="1:2">
      <c r="B43" s="144"/>
    </row>
    <row r="44" spans="1:2">
      <c r="A44" s="62" t="s">
        <v>268</v>
      </c>
      <c r="B44" s="144"/>
    </row>
    <row r="45" spans="1:2">
      <c r="B45" s="144"/>
    </row>
    <row r="47" spans="1:2">
      <c r="A47" s="230" t="s">
        <v>225</v>
      </c>
    </row>
    <row r="48" spans="1:2">
      <c r="A48" s="230" t="s">
        <v>226</v>
      </c>
    </row>
    <row r="49" spans="1:1">
      <c r="A49" t="s">
        <v>227</v>
      </c>
    </row>
    <row r="50" spans="1:1">
      <c r="A50" t="s">
        <v>228</v>
      </c>
    </row>
    <row r="51" spans="1:1" ht="13.15">
      <c r="A51" s="231" t="s">
        <v>229</v>
      </c>
    </row>
    <row r="52" spans="1:1">
      <c r="A52"/>
    </row>
    <row r="53" spans="1:1">
      <c r="A53" t="s">
        <v>230</v>
      </c>
    </row>
    <row r="54" spans="1:1">
      <c r="A54" t="s">
        <v>231</v>
      </c>
    </row>
    <row r="55" spans="1:1">
      <c r="A55" t="s">
        <v>232</v>
      </c>
    </row>
    <row r="56" spans="1:1">
      <c r="A56" t="s">
        <v>233</v>
      </c>
    </row>
    <row r="57" spans="1:1">
      <c r="A57" t="s">
        <v>234</v>
      </c>
    </row>
    <row r="58" spans="1:1">
      <c r="A58" t="s">
        <v>235</v>
      </c>
    </row>
    <row r="59" spans="1:1">
      <c r="A59" t="s">
        <v>236</v>
      </c>
    </row>
    <row r="60" spans="1:1">
      <c r="A60" t="s">
        <v>237</v>
      </c>
    </row>
    <row r="61" spans="1:1">
      <c r="A61" t="s">
        <v>238</v>
      </c>
    </row>
    <row r="62" spans="1:1">
      <c r="A62" t="s">
        <v>239</v>
      </c>
    </row>
    <row r="63" spans="1:1">
      <c r="A63" t="s">
        <v>240</v>
      </c>
    </row>
    <row r="64" spans="1:1">
      <c r="A64" t="s">
        <v>241</v>
      </c>
    </row>
    <row r="65" spans="1:1">
      <c r="A65" t="s">
        <v>242</v>
      </c>
    </row>
    <row r="67" spans="1:1">
      <c r="A67" s="230" t="s">
        <v>243</v>
      </c>
    </row>
    <row r="68" spans="1:1">
      <c r="A68" s="230" t="s">
        <v>244</v>
      </c>
    </row>
    <row r="69" spans="1:1">
      <c r="A69" t="s">
        <v>245</v>
      </c>
    </row>
    <row r="70" spans="1:1">
      <c r="A70" t="s">
        <v>246</v>
      </c>
    </row>
    <row r="71" spans="1:1" ht="13.15">
      <c r="A71" s="231" t="s">
        <v>229</v>
      </c>
    </row>
    <row r="72" spans="1:1">
      <c r="A72"/>
    </row>
    <row r="73" spans="1:1">
      <c r="A73" t="s">
        <v>251</v>
      </c>
    </row>
    <row r="74" spans="1:1">
      <c r="A74" t="s">
        <v>252</v>
      </c>
    </row>
    <row r="75" spans="1:1">
      <c r="A75" t="s">
        <v>253</v>
      </c>
    </row>
    <row r="76" spans="1:1">
      <c r="A76" t="s">
        <v>254</v>
      </c>
    </row>
    <row r="77" spans="1:1">
      <c r="A77"/>
    </row>
    <row r="78" spans="1:1">
      <c r="A78" t="s">
        <v>247</v>
      </c>
    </row>
    <row r="79" spans="1:1">
      <c r="A79" t="s">
        <v>248</v>
      </c>
    </row>
    <row r="80" spans="1:1">
      <c r="A80" t="s">
        <v>249</v>
      </c>
    </row>
    <row r="81" spans="1:1">
      <c r="A81" t="s">
        <v>250</v>
      </c>
    </row>
  </sheetData>
  <sheetProtection sheet="1" objects="1" scenarios="1"/>
  <phoneticPr fontId="0" type="noConversion"/>
  <hyperlinks>
    <hyperlink ref="A47" r:id="rId1" display="http://forums.aopa.org/showpost.php?p=1339681&amp;postcount=7"/>
    <hyperlink ref="A48" r:id="rId2" display="http://forums.aopa.org/member.php?u=10715"/>
    <hyperlink ref="A67" r:id="rId3" display="http://forums.aopa.org/showpost.php?p=1339971&amp;postcount=14"/>
    <hyperlink ref="A68" r:id="rId4" display="http://forums.aopa.org/member.php?u=3495"/>
  </hyperlinks>
  <pageMargins left="0.75" right="0.75" top="1" bottom="1" header="0.5" footer="0.5"/>
  <pageSetup orientation="portrait" horizontalDpi="1200" verticalDpi="1200" r:id="rId5"/>
  <headerFooter alignWithMargins="0"/>
  <drawing r:id="rId6"/>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Fixes v1.0</vt:lpstr>
      <vt:lpstr>Leg</vt:lpstr>
      <vt:lpstr>Climb, Eng.Perf</vt:lpstr>
      <vt:lpstr>W&amp;B 161</vt:lpstr>
      <vt:lpstr>W&amp;B 180</vt:lpstr>
      <vt:lpstr>Va</vt:lpstr>
      <vt:lpstr>Vs</vt:lpstr>
      <vt:lpstr>Vx|Vy</vt:lpstr>
      <vt:lpstr>ROC</vt:lpstr>
      <vt:lpstr>Standard Atmosphere</vt:lpstr>
      <vt:lpstr>Change Log</vt:lpstr>
      <vt:lpstr>Help</vt:lpstr>
      <vt:lpstr>Sheet9</vt:lpstr>
      <vt:lpstr>Sheet10</vt:lpstr>
      <vt:lpstr>Leg!Print_Area</vt:lpstr>
    </vt:vector>
  </TitlesOfParts>
  <Manager>N2175N</Manager>
  <Company>Harvey Field (S43), Snohomish, WA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Domenick Venezia</dc:creator>
  <cp:lastModifiedBy>DOVE</cp:lastModifiedBy>
  <cp:lastPrinted>2013-08-12T23:47:39Z</cp:lastPrinted>
  <dcterms:created xsi:type="dcterms:W3CDTF">2002-08-07T01:48:07Z</dcterms:created>
  <dcterms:modified xsi:type="dcterms:W3CDTF">2016-02-17T18:01:42Z</dcterms:modified>
</cp:coreProperties>
</file>