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0" windowWidth="14220" windowHeight="8832"/>
  </bookViews>
  <sheets>
    <sheet name="DA, ToD, RoC" sheetId="1" r:id="rId1"/>
    <sheet name="ToD" sheetId="2" r:id="rId2"/>
    <sheet name="ToD derivation" sheetId="3" r:id="rId3"/>
    <sheet name="ToD derivation (2)" sheetId="4" r:id="rId4"/>
  </sheets>
  <calcPr calcId="125725"/>
</workbook>
</file>

<file path=xl/calcChain.xml><?xml version="1.0" encoding="utf-8"?>
<calcChain xmlns="http://schemas.openxmlformats.org/spreadsheetml/2006/main">
  <c r="C24" i="1"/>
  <c r="G19" i="2" a="1"/>
  <c r="H21" s="1"/>
  <c r="H16" i="4" a="1"/>
  <c r="J18" s="1"/>
  <c r="H18" i="3" a="1"/>
  <c r="J18" s="1"/>
  <c r="B12" i="1"/>
  <c r="C12" s="1"/>
  <c r="C7"/>
  <c r="G13"/>
  <c r="G15" s="1"/>
  <c r="G14"/>
  <c r="G16" s="1"/>
  <c r="I19" i="2" l="1"/>
  <c r="G21"/>
  <c r="H19"/>
  <c r="I20"/>
  <c r="G19"/>
  <c r="H20"/>
  <c r="I21"/>
  <c r="G20"/>
  <c r="H17" i="4"/>
  <c r="I18"/>
  <c r="J16"/>
  <c r="H18"/>
  <c r="I16"/>
  <c r="J17"/>
  <c r="H16"/>
  <c r="I17"/>
  <c r="I20" i="3"/>
  <c r="H19"/>
  <c r="H18"/>
  <c r="H22" s="1" a="1"/>
  <c r="H24" s="1"/>
  <c r="J20"/>
  <c r="I19"/>
  <c r="J19"/>
  <c r="I18"/>
  <c r="H20"/>
  <c r="G17" i="1"/>
  <c r="G18" s="1"/>
  <c r="B14" s="1"/>
  <c r="G23" i="2" l="1" a="1"/>
  <c r="G23" s="1"/>
  <c r="C5" s="1"/>
  <c r="H22" i="3"/>
  <c r="H23"/>
  <c r="H20" i="4" a="1"/>
  <c r="H21" s="1"/>
  <c r="B13" i="1"/>
  <c r="G20" s="1"/>
  <c r="B17" s="1"/>
  <c r="G24" i="2" l="1"/>
  <c r="C6" s="1"/>
  <c r="G25"/>
  <c r="C7" s="1"/>
  <c r="H22" i="4"/>
  <c r="H20"/>
  <c r="B20" i="1"/>
  <c r="B19"/>
  <c r="B18"/>
  <c r="C16" i="2" l="1"/>
</calcChain>
</file>

<file path=xl/sharedStrings.xml><?xml version="1.0" encoding="utf-8"?>
<sst xmlns="http://schemas.openxmlformats.org/spreadsheetml/2006/main" count="164" uniqueCount="88">
  <si>
    <t>Altimeter setting (in Hg)</t>
  </si>
  <si>
    <t>Pm</t>
  </si>
  <si>
    <t>Em</t>
  </si>
  <si>
    <t>A</t>
  </si>
  <si>
    <t>B</t>
  </si>
  <si>
    <t>C</t>
  </si>
  <si>
    <t>D</t>
  </si>
  <si>
    <t>Temperature F</t>
  </si>
  <si>
    <t>X</t>
  </si>
  <si>
    <t>SeaLevel ROC (fpm)</t>
  </si>
  <si>
    <t>Rate of Climb (fpm)</t>
  </si>
  <si>
    <t>Takeoff Distance (ft)</t>
  </si>
  <si>
    <t>Altitude (ft)</t>
  </si>
  <si>
    <t>Density Altitude (ft)</t>
  </si>
  <si>
    <t>Pressure altitude (ft)</t>
  </si>
  <si>
    <t xml:space="preserve">Station pressure </t>
  </si>
  <si>
    <t>Standard temperature (F)</t>
  </si>
  <si>
    <t>These are temporary values,</t>
  </si>
  <si>
    <t>used in the calculations.</t>
  </si>
  <si>
    <t>SeaLevel Takeoff (ft)</t>
  </si>
  <si>
    <t xml:space="preserve">   Set this value for your plane</t>
  </si>
  <si>
    <t>User input variables</t>
  </si>
  <si>
    <t>User input setup parameters</t>
  </si>
  <si>
    <t>Calculated values</t>
  </si>
  <si>
    <t>Standard Day</t>
  </si>
  <si>
    <t>59F</t>
  </si>
  <si>
    <t>29.92126 mm/Hg</t>
  </si>
  <si>
    <t>SeaLevel Takeoff dist over 50 ft obst (ft)</t>
  </si>
  <si>
    <t>Takeoff Distance over 50 ft obst (ft)</t>
  </si>
  <si>
    <t>a</t>
  </si>
  <si>
    <t>b</t>
  </si>
  <si>
    <t>c</t>
  </si>
  <si>
    <t>where:</t>
  </si>
  <si>
    <t>pALT = pressure altitude</t>
  </si>
  <si>
    <t>roll = pALT(a) + Tf(b) + c</t>
  </si>
  <si>
    <t>Tf = temperature (F)</t>
  </si>
  <si>
    <t>pALT</t>
  </si>
  <si>
    <t>Tf</t>
  </si>
  <si>
    <t>Roll</t>
  </si>
  <si>
    <t>TO Roll</t>
  </si>
  <si>
    <t>Ground roll, paved, level, dry runway</t>
  </si>
  <si>
    <t>Full power before brake release, 25% flaps</t>
  </si>
  <si>
    <t>From the POH chart</t>
  </si>
  <si>
    <t>pt num</t>
  </si>
  <si>
    <t>Palt</t>
  </si>
  <si>
    <t>equation form: ap + bT + c = roll</t>
  </si>
  <si>
    <t>4000a - 40b + c = 900</t>
  </si>
  <si>
    <t>5000a +100b + c = 2250</t>
  </si>
  <si>
    <t>1000a + 70b + c = 1250</t>
  </si>
  <si>
    <t>Remove variable a</t>
  </si>
  <si>
    <t>eq(2)</t>
  </si>
  <si>
    <t>5000a + 350b + 5c = 6250</t>
  </si>
  <si>
    <t>5000a + 100b + c = 2250</t>
  </si>
  <si>
    <t>250b + 4c = 4000</t>
  </si>
  <si>
    <t>eq(1)</t>
  </si>
  <si>
    <t>eq(3)*5 - eq(2)</t>
  </si>
  <si>
    <t>eq(3)*5</t>
  </si>
  <si>
    <t>eq(3)*4 - eq(1)</t>
  </si>
  <si>
    <t>eq(3)*4</t>
  </si>
  <si>
    <t xml:space="preserve">eq(2) </t>
  </si>
  <si>
    <t>eq(3)</t>
  </si>
  <si>
    <t>4000a + 280b + 4c = 5000</t>
  </si>
  <si>
    <t>320b + 3c = 4100</t>
  </si>
  <si>
    <t>eq(4)</t>
  </si>
  <si>
    <t>eq(5)</t>
  </si>
  <si>
    <t>Solve eqs(4) and (5) for b</t>
  </si>
  <si>
    <t>eq(4)*0.75</t>
  </si>
  <si>
    <t>187.5b + 3c = 3000</t>
  </si>
  <si>
    <t>132.5b = 1100</t>
  </si>
  <si>
    <t>b = 8.3019</t>
  </si>
  <si>
    <t>Subst b into eq(4) to solve for c</t>
  </si>
  <si>
    <t>250(8.3019) + 4c = 4000</t>
  </si>
  <si>
    <t>2075.475 + 4c = 4000</t>
  </si>
  <si>
    <t>4c = 1924.525</t>
  </si>
  <si>
    <t>c = 481.1313</t>
  </si>
  <si>
    <t>Subst b and c into eq(1) to solve for a</t>
  </si>
  <si>
    <t>4000a - 40(8.3019) + 481.1313 = 900</t>
  </si>
  <si>
    <t>4000a = 750.9447</t>
  </si>
  <si>
    <t>a = 0.1877</t>
  </si>
  <si>
    <t>Matrix [A]</t>
  </si>
  <si>
    <t>Matrix [X]</t>
  </si>
  <si>
    <t>Matrix [B]</t>
  </si>
  <si>
    <t>Inverse [A]</t>
  </si>
  <si>
    <t>Matrix [b]</t>
  </si>
  <si>
    <t>[X] = [A-1][b]</t>
  </si>
  <si>
    <t>F</t>
  </si>
  <si>
    <t>Temperature convert (C to F)</t>
  </si>
  <si>
    <t xml:space="preserve">   Set this value for your plane.</t>
  </si>
</sst>
</file>

<file path=xl/styles.xml><?xml version="1.0" encoding="utf-8"?>
<styleSheet xmlns="http://schemas.openxmlformats.org/spreadsheetml/2006/main">
  <numFmts count="1">
    <numFmt numFmtId="164" formatCode="0.0"/>
  </numFmts>
  <fonts count="4">
    <font>
      <sz val="10"/>
      <name val="Arial"/>
    </font>
    <font>
      <sz val="12"/>
      <name val="Arial"/>
    </font>
    <font>
      <b/>
      <sz val="12"/>
      <name val="Arial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gray0625"/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Protection="1"/>
    <xf numFmtId="2" fontId="1" fillId="2" borderId="1" xfId="0" applyNumberFormat="1" applyFont="1" applyFill="1" applyBorder="1" applyProtection="1">
      <protection locked="0"/>
    </xf>
    <xf numFmtId="0" fontId="1" fillId="0" borderId="0" xfId="0" applyFont="1"/>
    <xf numFmtId="1" fontId="1" fillId="2" borderId="1" xfId="0" applyNumberFormat="1" applyFont="1" applyFill="1" applyBorder="1" applyProtection="1">
      <protection locked="0"/>
    </xf>
    <xf numFmtId="164" fontId="1" fillId="3" borderId="1" xfId="0" applyNumberFormat="1" applyFont="1" applyFill="1" applyBorder="1" applyProtection="1"/>
    <xf numFmtId="0" fontId="1" fillId="4" borderId="1" xfId="0" applyFont="1" applyFill="1" applyBorder="1" applyProtection="1"/>
    <xf numFmtId="0" fontId="2" fillId="0" borderId="0" xfId="0" applyFont="1" applyProtection="1"/>
    <xf numFmtId="0" fontId="1" fillId="3" borderId="1" xfId="0" applyFont="1" applyFill="1" applyBorder="1" applyProtection="1"/>
    <xf numFmtId="2" fontId="1" fillId="3" borderId="1" xfId="0" applyNumberFormat="1" applyFont="1" applyFill="1" applyBorder="1" applyProtection="1"/>
    <xf numFmtId="1" fontId="1" fillId="3" borderId="1" xfId="0" applyNumberFormat="1" applyFont="1" applyFill="1" applyBorder="1" applyProtection="1"/>
    <xf numFmtId="0" fontId="1" fillId="0" borderId="0" xfId="0" applyFont="1" applyBorder="1"/>
    <xf numFmtId="0" fontId="2" fillId="0" borderId="1" xfId="0" applyFont="1" applyBorder="1" applyProtection="1"/>
    <xf numFmtId="0" fontId="1" fillId="0" borderId="0" xfId="0" applyFont="1" applyAlignment="1">
      <alignment horizontal="right"/>
    </xf>
    <xf numFmtId="0" fontId="0" fillId="5" borderId="0" xfId="0" applyFill="1"/>
    <xf numFmtId="0" fontId="3" fillId="4" borderId="1" xfId="0" applyFont="1" applyFill="1" applyBorder="1" applyProtection="1"/>
    <xf numFmtId="2" fontId="3" fillId="2" borderId="1" xfId="0" applyNumberFormat="1" applyFont="1" applyFill="1" applyBorder="1" applyProtection="1">
      <protection locked="0"/>
    </xf>
    <xf numFmtId="0" fontId="3" fillId="0" borderId="0" xfId="0" applyFont="1"/>
    <xf numFmtId="0" fontId="3" fillId="5" borderId="0" xfId="0" applyFont="1" applyFill="1"/>
    <xf numFmtId="0" fontId="3" fillId="0" borderId="0" xfId="0" applyFont="1" applyAlignment="1">
      <alignment horizontal="right"/>
    </xf>
    <xf numFmtId="0" fontId="3" fillId="0" borderId="1" xfId="0" applyFont="1" applyBorder="1" applyAlignment="1">
      <alignment horizontal="right"/>
    </xf>
    <xf numFmtId="0" fontId="3" fillId="3" borderId="1" xfId="0" applyNumberFormat="1" applyFont="1" applyFill="1" applyBorder="1" applyProtection="1"/>
    <xf numFmtId="0" fontId="1" fillId="0" borderId="1" xfId="0" applyFont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4"/>
  <sheetViews>
    <sheetView tabSelected="1" workbookViewId="0">
      <selection activeCell="C11" sqref="C11"/>
    </sheetView>
  </sheetViews>
  <sheetFormatPr defaultRowHeight="15"/>
  <cols>
    <col min="1" max="1" width="40.6640625" style="3" customWidth="1"/>
    <col min="2" max="2" width="9" style="3" bestFit="1" customWidth="1"/>
    <col min="3" max="3" width="8.88671875" style="3"/>
    <col min="4" max="4" width="18" style="3" customWidth="1"/>
    <col min="5" max="16384" width="8.88671875" style="3"/>
  </cols>
  <sheetData>
    <row r="1" spans="1:8">
      <c r="A1" s="13" t="s">
        <v>21</v>
      </c>
      <c r="B1" s="2"/>
    </row>
    <row r="2" spans="1:8">
      <c r="A2" s="13" t="s">
        <v>22</v>
      </c>
      <c r="B2" s="6"/>
      <c r="D2" s="3" t="s">
        <v>24</v>
      </c>
    </row>
    <row r="3" spans="1:8">
      <c r="A3" s="13" t="s">
        <v>23</v>
      </c>
      <c r="B3" s="10"/>
      <c r="D3" s="3" t="s">
        <v>26</v>
      </c>
      <c r="E3" s="13" t="s">
        <v>25</v>
      </c>
    </row>
    <row r="5" spans="1:8">
      <c r="A5" s="1" t="s">
        <v>0</v>
      </c>
      <c r="B5" s="2">
        <v>29.92</v>
      </c>
    </row>
    <row r="6" spans="1:8">
      <c r="A6" s="1" t="s">
        <v>12</v>
      </c>
      <c r="B6" s="4">
        <v>3700</v>
      </c>
    </row>
    <row r="7" spans="1:8">
      <c r="A7" s="1" t="s">
        <v>7</v>
      </c>
      <c r="B7" s="4">
        <v>90</v>
      </c>
      <c r="C7" s="5">
        <f>(B7-32)/1.8</f>
        <v>32.222222222222221</v>
      </c>
    </row>
    <row r="8" spans="1:8">
      <c r="A8" s="1"/>
    </row>
    <row r="9" spans="1:8">
      <c r="A9" s="1" t="s">
        <v>19</v>
      </c>
      <c r="B9" s="6">
        <v>975</v>
      </c>
      <c r="C9" s="3" t="s">
        <v>20</v>
      </c>
    </row>
    <row r="10" spans="1:8">
      <c r="A10" s="1" t="s">
        <v>27</v>
      </c>
      <c r="B10" s="6">
        <v>1700</v>
      </c>
      <c r="C10" s="3" t="s">
        <v>20</v>
      </c>
    </row>
    <row r="11" spans="1:8">
      <c r="A11" s="1" t="s">
        <v>9</v>
      </c>
      <c r="B11" s="6">
        <v>720</v>
      </c>
      <c r="C11" s="3" t="s">
        <v>87</v>
      </c>
    </row>
    <row r="12" spans="1:8" ht="15.6">
      <c r="A12" s="7" t="s">
        <v>16</v>
      </c>
      <c r="B12" s="8">
        <f>59 -(B6/1000)*3.6</f>
        <v>45.68</v>
      </c>
      <c r="C12" s="5">
        <f>(B12-32)/1.8</f>
        <v>7.6</v>
      </c>
    </row>
    <row r="13" spans="1:8" ht="15.6">
      <c r="A13" s="7" t="s">
        <v>15</v>
      </c>
      <c r="B13" s="9">
        <f>G17*0.02953</f>
        <v>26.134990459986927</v>
      </c>
      <c r="F13" s="8" t="s">
        <v>1</v>
      </c>
      <c r="G13" s="8">
        <f>B5*33.8639</f>
        <v>1013.2078880000001</v>
      </c>
      <c r="H13" s="3" t="s">
        <v>17</v>
      </c>
    </row>
    <row r="14" spans="1:8" ht="15.6">
      <c r="A14" s="7" t="s">
        <v>14</v>
      </c>
      <c r="B14" s="10">
        <f>(1-G18)*145366.45</f>
        <v>3694.610835152595</v>
      </c>
      <c r="F14" s="8" t="s">
        <v>2</v>
      </c>
      <c r="G14" s="8">
        <f>B6*0.3048</f>
        <v>1127.76</v>
      </c>
      <c r="H14" s="3" t="s">
        <v>18</v>
      </c>
    </row>
    <row r="15" spans="1:8">
      <c r="B15" s="11"/>
      <c r="F15" s="8" t="s">
        <v>3</v>
      </c>
      <c r="G15" s="8">
        <f>POWER(G13, 0.190284)</f>
        <v>3.7319545431425358</v>
      </c>
    </row>
    <row r="16" spans="1:8">
      <c r="B16" s="11"/>
      <c r="F16" s="8" t="s">
        <v>4</v>
      </c>
      <c r="G16" s="8">
        <f>G14*0.000084288</f>
        <v>9.5056634880000004E-2</v>
      </c>
    </row>
    <row r="17" spans="1:7" ht="15.6">
      <c r="A17" s="12" t="s">
        <v>13</v>
      </c>
      <c r="B17" s="10">
        <f>145366*(1-(POWER(G20,0.235)))</f>
        <v>6474.2330809756922</v>
      </c>
      <c r="F17" s="8" t="s">
        <v>5</v>
      </c>
      <c r="G17" s="8">
        <f>POWER((G15-G16),5.2553026) + 0.3</f>
        <v>885.03184761215459</v>
      </c>
    </row>
    <row r="18" spans="1:7" ht="15.6">
      <c r="A18" s="12" t="s">
        <v>11</v>
      </c>
      <c r="B18" s="10">
        <f>(B17/1000)*(0.12*B9) +B9</f>
        <v>1732.4852704741561</v>
      </c>
      <c r="F18" s="8" t="s">
        <v>6</v>
      </c>
      <c r="G18" s="8">
        <f>POWER((G17/1013.25), 0.190284)</f>
        <v>0.97458415724431191</v>
      </c>
    </row>
    <row r="19" spans="1:7" ht="15.6">
      <c r="A19" s="12" t="s">
        <v>28</v>
      </c>
      <c r="B19" s="10">
        <f>(B17/1000)*(0.12*B10) +B10</f>
        <v>3020.7435485190408</v>
      </c>
      <c r="F19" s="8"/>
      <c r="G19" s="8"/>
    </row>
    <row r="20" spans="1:7" ht="15.6">
      <c r="A20" s="12" t="s">
        <v>10</v>
      </c>
      <c r="B20" s="10">
        <f>B11-(B17/1000)*(0.07*B11)</f>
        <v>393.69865271882509</v>
      </c>
      <c r="F20" s="8" t="s">
        <v>8</v>
      </c>
      <c r="G20" s="8">
        <f>(17.326*B13)/(B7+459.69)</f>
        <v>0.82376402101135815</v>
      </c>
    </row>
    <row r="21" spans="1:7">
      <c r="G21" s="1"/>
    </row>
    <row r="23" spans="1:7">
      <c r="B23" s="22" t="s">
        <v>5</v>
      </c>
      <c r="C23" s="22" t="s">
        <v>85</v>
      </c>
    </row>
    <row r="24" spans="1:7">
      <c r="A24" s="22" t="s">
        <v>86</v>
      </c>
      <c r="B24" s="2">
        <v>12</v>
      </c>
      <c r="C24" s="10">
        <f>1.8*B24+32</f>
        <v>53.6</v>
      </c>
    </row>
  </sheetData>
  <phoneticPr fontId="0" type="noConversion"/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I25"/>
  <sheetViews>
    <sheetView workbookViewId="0">
      <selection activeCell="A20" sqref="A20"/>
    </sheetView>
  </sheetViews>
  <sheetFormatPr defaultRowHeight="13.2"/>
  <cols>
    <col min="1" max="1" width="29.5546875" customWidth="1"/>
  </cols>
  <sheetData>
    <row r="1" spans="1:9" ht="15">
      <c r="A1" s="13" t="s">
        <v>21</v>
      </c>
      <c r="B1" s="2"/>
      <c r="D1" s="17" t="s">
        <v>40</v>
      </c>
    </row>
    <row r="2" spans="1:9" ht="15">
      <c r="A2" s="13" t="s">
        <v>22</v>
      </c>
      <c r="B2" s="6"/>
      <c r="D2" s="17" t="s">
        <v>41</v>
      </c>
    </row>
    <row r="3" spans="1:9" ht="15">
      <c r="A3" s="13" t="s">
        <v>23</v>
      </c>
      <c r="B3" s="10"/>
    </row>
    <row r="5" spans="1:9">
      <c r="B5" s="15" t="s">
        <v>29</v>
      </c>
      <c r="C5" s="15">
        <f>G23</f>
        <v>0.18773584905660379</v>
      </c>
      <c r="F5" s="17" t="s">
        <v>84</v>
      </c>
    </row>
    <row r="6" spans="1:9">
      <c r="B6" s="15" t="s">
        <v>30</v>
      </c>
      <c r="C6" s="15">
        <f>G24</f>
        <v>8.3018867924528301</v>
      </c>
    </row>
    <row r="7" spans="1:9">
      <c r="B7" s="15" t="s">
        <v>31</v>
      </c>
      <c r="C7" s="15">
        <f>G25</f>
        <v>481.13207547169793</v>
      </c>
      <c r="F7" s="17" t="s">
        <v>79</v>
      </c>
      <c r="G7" s="16">
        <v>4000</v>
      </c>
      <c r="H7" s="16">
        <v>-40</v>
      </c>
      <c r="I7" s="16">
        <v>1</v>
      </c>
    </row>
    <row r="8" spans="1:9">
      <c r="G8" s="16">
        <v>5000</v>
      </c>
      <c r="H8" s="16">
        <v>100</v>
      </c>
      <c r="I8" s="16">
        <v>1</v>
      </c>
    </row>
    <row r="9" spans="1:9">
      <c r="B9" t="s">
        <v>34</v>
      </c>
      <c r="G9" s="16">
        <v>1000</v>
      </c>
      <c r="H9" s="16">
        <v>70</v>
      </c>
      <c r="I9" s="16">
        <v>1</v>
      </c>
    </row>
    <row r="10" spans="1:9">
      <c r="B10" t="s">
        <v>32</v>
      </c>
    </row>
    <row r="11" spans="1:9">
      <c r="C11" t="s">
        <v>33</v>
      </c>
      <c r="F11" s="17" t="s">
        <v>80</v>
      </c>
      <c r="G11" s="20" t="s">
        <v>29</v>
      </c>
    </row>
    <row r="12" spans="1:9">
      <c r="C12" t="s">
        <v>35</v>
      </c>
      <c r="G12" s="20" t="s">
        <v>30</v>
      </c>
    </row>
    <row r="13" spans="1:9">
      <c r="G13" s="20" t="s">
        <v>31</v>
      </c>
    </row>
    <row r="14" spans="1:9">
      <c r="B14" s="16" t="s">
        <v>36</v>
      </c>
      <c r="C14" s="16">
        <v>0</v>
      </c>
    </row>
    <row r="15" spans="1:9">
      <c r="B15" s="16" t="s">
        <v>37</v>
      </c>
      <c r="C15" s="16">
        <v>100</v>
      </c>
      <c r="F15" s="17" t="s">
        <v>83</v>
      </c>
      <c r="G15" s="16">
        <v>900</v>
      </c>
    </row>
    <row r="16" spans="1:9">
      <c r="B16" s="16" t="s">
        <v>39</v>
      </c>
      <c r="C16" s="16">
        <f>C5*C14+C6*C15+C7</f>
        <v>1311.3207547169809</v>
      </c>
      <c r="G16" s="16">
        <v>2250</v>
      </c>
    </row>
    <row r="17" spans="6:9">
      <c r="G17" s="16">
        <v>1250</v>
      </c>
    </row>
    <row r="19" spans="6:9">
      <c r="F19" s="17" t="s">
        <v>82</v>
      </c>
      <c r="G19" s="21">
        <f t="array" ref="G19:I21">MINVERSE(G7:I9)</f>
        <v>5.660377358490566E-5</v>
      </c>
      <c r="H19" s="21">
        <v>2.0754716981132075E-4</v>
      </c>
      <c r="I19" s="21">
        <v>-2.6415094339622642E-4</v>
      </c>
    </row>
    <row r="20" spans="6:9">
      <c r="G20" s="21">
        <v>-7.5471698113207548E-3</v>
      </c>
      <c r="H20" s="21">
        <v>5.6603773584905665E-3</v>
      </c>
      <c r="I20" s="21">
        <v>1.8867924528301883E-3</v>
      </c>
    </row>
    <row r="21" spans="6:9">
      <c r="G21" s="21">
        <v>0.47169811320754723</v>
      </c>
      <c r="H21" s="21">
        <v>-0.60377358490566047</v>
      </c>
      <c r="I21" s="21">
        <v>1.1320754716981132</v>
      </c>
    </row>
    <row r="23" spans="6:9">
      <c r="F23" s="17" t="s">
        <v>80</v>
      </c>
      <c r="G23" s="21">
        <f t="array" ref="G23:G25">MMULT(G19:I21,G15:G17)</f>
        <v>0.18773584905660379</v>
      </c>
    </row>
    <row r="24" spans="6:9">
      <c r="G24" s="21">
        <v>8.3018867924528301</v>
      </c>
    </row>
    <row r="25" spans="6:9">
      <c r="G25" s="21">
        <v>481.13207547169793</v>
      </c>
    </row>
  </sheetData>
  <phoneticPr fontId="0" type="noConversion"/>
  <pageMargins left="0.75" right="0.75" top="1" bottom="1" header="0.5" footer="0.5"/>
  <pageSetup orientation="portrait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J42"/>
  <sheetViews>
    <sheetView workbookViewId="0">
      <selection activeCell="E21" sqref="E21"/>
    </sheetView>
  </sheetViews>
  <sheetFormatPr defaultRowHeight="13.2"/>
  <cols>
    <col min="1" max="1" width="9.88671875" customWidth="1"/>
    <col min="8" max="8" width="12.44140625" bestFit="1" customWidth="1"/>
    <col min="9" max="10" width="12.109375" bestFit="1" customWidth="1"/>
  </cols>
  <sheetData>
    <row r="1" spans="1:10" ht="15">
      <c r="G1" s="13" t="s">
        <v>21</v>
      </c>
      <c r="H1" s="16"/>
    </row>
    <row r="2" spans="1:10" ht="15">
      <c r="G2" s="13" t="s">
        <v>22</v>
      </c>
      <c r="H2" s="15"/>
    </row>
    <row r="3" spans="1:10" ht="15">
      <c r="A3" s="17" t="s">
        <v>42</v>
      </c>
      <c r="G3" s="13" t="s">
        <v>23</v>
      </c>
      <c r="H3" s="21"/>
    </row>
    <row r="5" spans="1:10">
      <c r="A5" s="17" t="s">
        <v>43</v>
      </c>
      <c r="B5" s="17" t="s">
        <v>44</v>
      </c>
      <c r="C5" s="17" t="s">
        <v>37</v>
      </c>
      <c r="D5" s="17" t="s">
        <v>38</v>
      </c>
      <c r="G5" s="17" t="s">
        <v>84</v>
      </c>
    </row>
    <row r="6" spans="1:10">
      <c r="A6">
        <v>1</v>
      </c>
      <c r="B6">
        <v>4000</v>
      </c>
      <c r="C6">
        <v>-40</v>
      </c>
      <c r="D6">
        <v>900</v>
      </c>
      <c r="G6" s="17" t="s">
        <v>79</v>
      </c>
      <c r="H6" s="16">
        <v>4000</v>
      </c>
      <c r="I6" s="16">
        <v>-40</v>
      </c>
      <c r="J6" s="16">
        <v>1</v>
      </c>
    </row>
    <row r="7" spans="1:10">
      <c r="A7">
        <v>2</v>
      </c>
      <c r="B7">
        <v>5000</v>
      </c>
      <c r="C7">
        <v>100</v>
      </c>
      <c r="D7">
        <v>2250</v>
      </c>
      <c r="H7" s="16">
        <v>5000</v>
      </c>
      <c r="I7" s="16">
        <v>100</v>
      </c>
      <c r="J7" s="16">
        <v>1</v>
      </c>
    </row>
    <row r="8" spans="1:10">
      <c r="A8">
        <v>3</v>
      </c>
      <c r="B8">
        <v>1000</v>
      </c>
      <c r="C8">
        <v>70</v>
      </c>
      <c r="D8">
        <v>1250</v>
      </c>
      <c r="H8" s="16">
        <v>1000</v>
      </c>
      <c r="I8" s="16">
        <v>70</v>
      </c>
      <c r="J8" s="16">
        <v>1</v>
      </c>
    </row>
    <row r="10" spans="1:10">
      <c r="A10" s="17" t="s">
        <v>45</v>
      </c>
      <c r="G10" s="17" t="s">
        <v>80</v>
      </c>
      <c r="H10" s="20" t="s">
        <v>29</v>
      </c>
    </row>
    <row r="11" spans="1:10">
      <c r="H11" s="20" t="s">
        <v>30</v>
      </c>
    </row>
    <row r="12" spans="1:10">
      <c r="A12" s="17" t="s">
        <v>54</v>
      </c>
      <c r="B12" s="17" t="s">
        <v>46</v>
      </c>
      <c r="E12" s="17"/>
      <c r="H12" s="20" t="s">
        <v>31</v>
      </c>
    </row>
    <row r="13" spans="1:10">
      <c r="A13" s="17" t="s">
        <v>59</v>
      </c>
      <c r="B13" s="17" t="s">
        <v>47</v>
      </c>
    </row>
    <row r="14" spans="1:10">
      <c r="A14" s="17" t="s">
        <v>60</v>
      </c>
      <c r="B14" s="17" t="s">
        <v>48</v>
      </c>
      <c r="G14" s="17" t="s">
        <v>83</v>
      </c>
      <c r="H14" s="16">
        <v>900</v>
      </c>
    </row>
    <row r="15" spans="1:10">
      <c r="H15" s="16">
        <v>2250</v>
      </c>
    </row>
    <row r="16" spans="1:10">
      <c r="A16" s="17" t="s">
        <v>49</v>
      </c>
      <c r="H16" s="16">
        <v>1250</v>
      </c>
    </row>
    <row r="17" spans="1:10">
      <c r="A17" s="17" t="s">
        <v>55</v>
      </c>
    </row>
    <row r="18" spans="1:10">
      <c r="A18" s="17" t="s">
        <v>56</v>
      </c>
      <c r="B18" s="17" t="s">
        <v>51</v>
      </c>
      <c r="G18" s="17" t="s">
        <v>82</v>
      </c>
      <c r="H18" s="21">
        <f t="array" ref="H18:J20">MINVERSE(H6:J8)</f>
        <v>5.660377358490566E-5</v>
      </c>
      <c r="I18" s="21">
        <v>2.0754716981132075E-4</v>
      </c>
      <c r="J18" s="21">
        <v>-2.6415094339622642E-4</v>
      </c>
    </row>
    <row r="19" spans="1:10">
      <c r="A19" s="17" t="s">
        <v>50</v>
      </c>
      <c r="B19" s="17" t="s">
        <v>52</v>
      </c>
      <c r="H19" s="21">
        <v>-7.5471698113207548E-3</v>
      </c>
      <c r="I19" s="21">
        <v>5.6603773584905665E-3</v>
      </c>
      <c r="J19" s="21">
        <v>1.8867924528301883E-3</v>
      </c>
    </row>
    <row r="20" spans="1:10">
      <c r="A20" s="17" t="s">
        <v>63</v>
      </c>
      <c r="B20" s="17" t="s">
        <v>53</v>
      </c>
      <c r="H20" s="21">
        <v>0.47169811320754723</v>
      </c>
      <c r="I20" s="21">
        <v>-0.60377358490566047</v>
      </c>
      <c r="J20" s="21">
        <v>1.1320754716981132</v>
      </c>
    </row>
    <row r="22" spans="1:10">
      <c r="A22" s="17" t="s">
        <v>57</v>
      </c>
      <c r="G22" s="17" t="s">
        <v>80</v>
      </c>
      <c r="H22" s="21">
        <f t="array" ref="H22:H24">MMULT(H18:J20,H14:H16)</f>
        <v>0.18773584905660379</v>
      </c>
    </row>
    <row r="23" spans="1:10">
      <c r="A23" s="17" t="s">
        <v>58</v>
      </c>
      <c r="B23" s="17" t="s">
        <v>61</v>
      </c>
      <c r="H23" s="21">
        <v>8.3018867924528301</v>
      </c>
    </row>
    <row r="24" spans="1:10">
      <c r="A24" s="17" t="s">
        <v>54</v>
      </c>
      <c r="B24" s="17" t="s">
        <v>46</v>
      </c>
      <c r="H24" s="21">
        <v>481.13207547169793</v>
      </c>
    </row>
    <row r="25" spans="1:10">
      <c r="A25" s="17" t="s">
        <v>64</v>
      </c>
      <c r="B25" s="17" t="s">
        <v>62</v>
      </c>
    </row>
    <row r="27" spans="1:10">
      <c r="A27" s="17" t="s">
        <v>65</v>
      </c>
    </row>
    <row r="28" spans="1:10">
      <c r="A28" s="17" t="s">
        <v>64</v>
      </c>
      <c r="B28" s="17" t="s">
        <v>62</v>
      </c>
    </row>
    <row r="29" spans="1:10">
      <c r="A29" s="17" t="s">
        <v>66</v>
      </c>
      <c r="B29" s="17" t="s">
        <v>67</v>
      </c>
    </row>
    <row r="30" spans="1:10">
      <c r="B30" s="17" t="s">
        <v>68</v>
      </c>
    </row>
    <row r="31" spans="1:10">
      <c r="B31" s="18" t="s">
        <v>69</v>
      </c>
    </row>
    <row r="33" spans="1:2">
      <c r="A33" s="17" t="s">
        <v>70</v>
      </c>
    </row>
    <row r="34" spans="1:2">
      <c r="B34" s="17" t="s">
        <v>71</v>
      </c>
    </row>
    <row r="35" spans="1:2">
      <c r="B35" s="17" t="s">
        <v>72</v>
      </c>
    </row>
    <row r="36" spans="1:2">
      <c r="B36" s="17" t="s">
        <v>73</v>
      </c>
    </row>
    <row r="37" spans="1:2">
      <c r="B37" s="18" t="s">
        <v>74</v>
      </c>
    </row>
    <row r="39" spans="1:2">
      <c r="A39" s="17" t="s">
        <v>75</v>
      </c>
    </row>
    <row r="40" spans="1:2">
      <c r="B40" s="17" t="s">
        <v>76</v>
      </c>
    </row>
    <row r="41" spans="1:2">
      <c r="B41" s="17" t="s">
        <v>77</v>
      </c>
    </row>
    <row r="42" spans="1:2">
      <c r="B42" s="18" t="s">
        <v>78</v>
      </c>
    </row>
  </sheetData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J40"/>
  <sheetViews>
    <sheetView workbookViewId="0">
      <selection activeCell="I30" sqref="I30"/>
    </sheetView>
  </sheetViews>
  <sheetFormatPr defaultRowHeight="13.2"/>
  <cols>
    <col min="1" max="1" width="9.88671875" customWidth="1"/>
    <col min="8" max="8" width="12.33203125" bestFit="1" customWidth="1"/>
  </cols>
  <sheetData>
    <row r="1" spans="1:10">
      <c r="A1" s="17" t="s">
        <v>42</v>
      </c>
    </row>
    <row r="3" spans="1:10">
      <c r="A3" s="17" t="s">
        <v>43</v>
      </c>
      <c r="B3" s="17" t="s">
        <v>44</v>
      </c>
      <c r="C3" s="17" t="s">
        <v>37</v>
      </c>
      <c r="D3" s="17" t="s">
        <v>38</v>
      </c>
    </row>
    <row r="4" spans="1:10">
      <c r="A4">
        <v>1</v>
      </c>
      <c r="B4">
        <v>4000</v>
      </c>
      <c r="C4">
        <v>-40</v>
      </c>
      <c r="D4">
        <v>900</v>
      </c>
      <c r="G4" s="17" t="s">
        <v>79</v>
      </c>
      <c r="H4" s="14">
        <v>4000</v>
      </c>
      <c r="I4" s="14">
        <v>-40</v>
      </c>
      <c r="J4" s="14">
        <v>1</v>
      </c>
    </row>
    <row r="5" spans="1:10">
      <c r="A5">
        <v>2</v>
      </c>
      <c r="B5">
        <v>5000</v>
      </c>
      <c r="C5">
        <v>100</v>
      </c>
      <c r="D5">
        <v>2250</v>
      </c>
      <c r="H5" s="14">
        <v>5000</v>
      </c>
      <c r="I5" s="14">
        <v>100</v>
      </c>
      <c r="J5" s="14">
        <v>1</v>
      </c>
    </row>
    <row r="6" spans="1:10">
      <c r="A6">
        <v>3</v>
      </c>
      <c r="B6">
        <v>1000</v>
      </c>
      <c r="C6">
        <v>70</v>
      </c>
      <c r="D6">
        <v>1250</v>
      </c>
      <c r="H6" s="14">
        <v>1000</v>
      </c>
      <c r="I6" s="14">
        <v>70</v>
      </c>
      <c r="J6" s="14">
        <v>1</v>
      </c>
    </row>
    <row r="8" spans="1:10">
      <c r="A8" s="17" t="s">
        <v>45</v>
      </c>
      <c r="G8" s="17" t="s">
        <v>80</v>
      </c>
      <c r="H8" s="19" t="s">
        <v>29</v>
      </c>
    </row>
    <row r="9" spans="1:10">
      <c r="H9" s="19" t="s">
        <v>30</v>
      </c>
    </row>
    <row r="10" spans="1:10">
      <c r="A10" s="17" t="s">
        <v>54</v>
      </c>
      <c r="B10" s="17" t="s">
        <v>46</v>
      </c>
      <c r="E10" s="17"/>
      <c r="H10" s="19" t="s">
        <v>31</v>
      </c>
    </row>
    <row r="11" spans="1:10">
      <c r="A11" s="17" t="s">
        <v>59</v>
      </c>
      <c r="B11" s="17" t="s">
        <v>47</v>
      </c>
    </row>
    <row r="12" spans="1:10">
      <c r="A12" s="17" t="s">
        <v>60</v>
      </c>
      <c r="B12" s="17" t="s">
        <v>48</v>
      </c>
      <c r="G12" s="17" t="s">
        <v>81</v>
      </c>
      <c r="H12" s="14">
        <v>900</v>
      </c>
    </row>
    <row r="13" spans="1:10">
      <c r="H13" s="14">
        <v>2250</v>
      </c>
    </row>
    <row r="14" spans="1:10">
      <c r="A14" s="17" t="s">
        <v>49</v>
      </c>
      <c r="H14" s="14">
        <v>1250</v>
      </c>
    </row>
    <row r="15" spans="1:10">
      <c r="A15" s="17" t="s">
        <v>55</v>
      </c>
    </row>
    <row r="16" spans="1:10">
      <c r="A16" s="17" t="s">
        <v>56</v>
      </c>
      <c r="B16" s="17" t="s">
        <v>51</v>
      </c>
      <c r="G16" s="17" t="s">
        <v>82</v>
      </c>
      <c r="H16">
        <f t="array" ref="H16:J18">MINVERSE(H4:J6)</f>
        <v>5.660377358490566E-5</v>
      </c>
      <c r="I16">
        <v>2.0754716981132075E-4</v>
      </c>
      <c r="J16">
        <v>-2.6415094339622642E-4</v>
      </c>
    </row>
    <row r="17" spans="1:10">
      <c r="A17" s="17" t="s">
        <v>50</v>
      </c>
      <c r="B17" s="17" t="s">
        <v>52</v>
      </c>
      <c r="H17">
        <v>-7.5471698113207548E-3</v>
      </c>
      <c r="I17">
        <v>5.6603773584905665E-3</v>
      </c>
      <c r="J17">
        <v>1.8867924528301883E-3</v>
      </c>
    </row>
    <row r="18" spans="1:10">
      <c r="A18" s="17" t="s">
        <v>63</v>
      </c>
      <c r="B18" s="17" t="s">
        <v>53</v>
      </c>
      <c r="H18">
        <v>0.47169811320754723</v>
      </c>
      <c r="I18">
        <v>-0.60377358490566047</v>
      </c>
      <c r="J18">
        <v>1.1320754716981132</v>
      </c>
    </row>
    <row r="20" spans="1:10">
      <c r="A20" s="17" t="s">
        <v>57</v>
      </c>
      <c r="G20" s="17" t="s">
        <v>80</v>
      </c>
      <c r="H20">
        <f t="array" ref="H20:H22">MMULT(H16:J18,H12:H14)</f>
        <v>0.18773584905660379</v>
      </c>
    </row>
    <row r="21" spans="1:10">
      <c r="A21" s="17" t="s">
        <v>58</v>
      </c>
      <c r="B21" s="17" t="s">
        <v>61</v>
      </c>
      <c r="H21">
        <v>8.3018867924528301</v>
      </c>
    </row>
    <row r="22" spans="1:10">
      <c r="A22" s="17" t="s">
        <v>54</v>
      </c>
      <c r="B22" s="17" t="s">
        <v>46</v>
      </c>
      <c r="H22">
        <v>481.13207547169793</v>
      </c>
    </row>
    <row r="23" spans="1:10">
      <c r="A23" s="17" t="s">
        <v>64</v>
      </c>
      <c r="B23" s="17" t="s">
        <v>62</v>
      </c>
    </row>
    <row r="25" spans="1:10">
      <c r="A25" s="17" t="s">
        <v>65</v>
      </c>
    </row>
    <row r="26" spans="1:10">
      <c r="A26" s="17" t="s">
        <v>64</v>
      </c>
      <c r="B26" s="17" t="s">
        <v>62</v>
      </c>
    </row>
    <row r="27" spans="1:10">
      <c r="A27" s="17" t="s">
        <v>66</v>
      </c>
      <c r="B27" s="17" t="s">
        <v>67</v>
      </c>
    </row>
    <row r="28" spans="1:10">
      <c r="B28" s="17" t="s">
        <v>68</v>
      </c>
    </row>
    <row r="29" spans="1:10">
      <c r="B29" s="18" t="s">
        <v>69</v>
      </c>
    </row>
    <row r="31" spans="1:10">
      <c r="A31" s="17" t="s">
        <v>70</v>
      </c>
    </row>
    <row r="32" spans="1:10">
      <c r="B32" s="17" t="s">
        <v>71</v>
      </c>
    </row>
    <row r="33" spans="1:2">
      <c r="B33" s="17" t="s">
        <v>72</v>
      </c>
    </row>
    <row r="34" spans="1:2">
      <c r="B34" s="17" t="s">
        <v>73</v>
      </c>
    </row>
    <row r="35" spans="1:2">
      <c r="B35" s="18" t="s">
        <v>74</v>
      </c>
    </row>
    <row r="37" spans="1:2">
      <c r="A37" s="17" t="s">
        <v>75</v>
      </c>
    </row>
    <row r="38" spans="1:2">
      <c r="B38" s="17" t="s">
        <v>76</v>
      </c>
    </row>
    <row r="39" spans="1:2">
      <c r="B39" s="17" t="s">
        <v>77</v>
      </c>
    </row>
    <row r="40" spans="1:2">
      <c r="B40" s="18" t="s">
        <v>78</v>
      </c>
    </row>
  </sheetData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DA, ToD, RoC</vt:lpstr>
      <vt:lpstr>ToD</vt:lpstr>
      <vt:lpstr>ToD derivation</vt:lpstr>
      <vt:lpstr>ToD derivation (2)</vt:lpstr>
    </vt:vector>
  </TitlesOfParts>
  <Company>ZymoGenetics, Inc.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Domenick Venezia</dc:creator>
  <cp:lastModifiedBy>DOVE</cp:lastModifiedBy>
  <dcterms:created xsi:type="dcterms:W3CDTF">2002-10-17T04:35:25Z</dcterms:created>
  <dcterms:modified xsi:type="dcterms:W3CDTF">2013-07-21T15:39:40Z</dcterms:modified>
</cp:coreProperties>
</file>